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codeName="Denne_projektmappe" hidePivotFieldList="1" defaultThemeVersion="166925"/>
  <mc:AlternateContent xmlns:mc="http://schemas.openxmlformats.org/markup-compatibility/2006">
    <mc:Choice Requires="x15">
      <x15ac:absPath xmlns:x15ac="http://schemas.microsoft.com/office/spreadsheetml/2010/11/ac" url="https://kksky.sharepoint.com/sites/BYFUdviklingsprojekter/Delte dokumenter/A Afsluttede Projekter/CØ i Byfornyelsen/Lendager værktøj/"/>
    </mc:Choice>
  </mc:AlternateContent>
  <xr:revisionPtr revIDLastSave="23" documentId="13_ncr:1_{BBF4CFF6-8662-4858-9EA4-6A6BB1CECF56}" xr6:coauthVersionLast="47" xr6:coauthVersionMax="47" xr10:uidLastSave="{E620015A-8F19-4561-A7B2-B14218F7FD9E}"/>
  <bookViews>
    <workbookView xWindow="-120" yWindow="-120" windowWidth="29040" windowHeight="15840" tabRatio="789" activeTab="4" xr2:uid="{00000000-000D-0000-FFFF-FFFF00000000}"/>
  </bookViews>
  <sheets>
    <sheet name="INTRO" sheetId="33" r:id="rId1"/>
    <sheet name="INPUT" sheetId="6" r:id="rId2"/>
    <sheet name="OUTPUT" sheetId="31" r:id="rId3"/>
    <sheet name="KOMMUNIKATION" sheetId="32" r:id="rId4"/>
    <sheet name="Argumenter" sheetId="5" r:id="rId5"/>
    <sheet name="Cirkuleringsgreb" sheetId="11" r:id="rId6"/>
    <sheet name="Materialeoutput" sheetId="1" r:id="rId7"/>
    <sheet name="Referencehus" sheetId="34" r:id="rId8"/>
    <sheet name="Økonomi" sheetId="20" state="hidden" r:id="rId9"/>
  </sheets>
  <externalReferences>
    <externalReference r:id="rId10"/>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3" i="1" l="1"/>
  <c r="I11" i="1"/>
  <c r="F11" i="1"/>
  <c r="G11" i="1" s="1"/>
  <c r="I9" i="1"/>
  <c r="AC8" i="11" l="1" a="1"/>
  <c r="AC8" i="11" s="1"/>
  <c r="B35" i="34"/>
  <c r="B34" i="34"/>
  <c r="B33" i="34"/>
  <c r="B30" i="34"/>
  <c r="E30" i="34" s="1"/>
  <c r="E29" i="34"/>
  <c r="E28" i="34"/>
  <c r="E27" i="34"/>
  <c r="B25" i="34"/>
  <c r="B26" i="34" s="1"/>
  <c r="E26" i="34" s="1"/>
  <c r="B8" i="34"/>
  <c r="E25" i="34" l="1"/>
  <c r="E31" i="34" s="1"/>
  <c r="G28" i="31" l="1" a="1"/>
  <c r="G28" i="31" s="1"/>
  <c r="G32" i="31"/>
  <c r="G30" i="31" l="1"/>
  <c r="F32" i="31" l="1"/>
  <c r="F30" i="31"/>
  <c r="F28" i="31"/>
  <c r="E32" i="31"/>
  <c r="E30" i="31"/>
  <c r="E28" i="31"/>
  <c r="K28" i="1" l="1"/>
  <c r="G28" i="1"/>
  <c r="K26" i="1"/>
  <c r="G26" i="1"/>
  <c r="K24" i="1"/>
  <c r="G24" i="1"/>
  <c r="F28" i="1" l="1"/>
  <c r="F26" i="1"/>
  <c r="F24" i="1"/>
  <c r="B390" i="5" l="1"/>
  <c r="F9" i="1" l="1"/>
  <c r="G9" i="1" s="1"/>
  <c r="H9" i="1" s="1"/>
  <c r="M12" i="32" l="1"/>
  <c r="L28" i="31"/>
  <c r="G32" i="32"/>
  <c r="O16" i="11" a="1"/>
  <c r="O16" i="11" s="1"/>
  <c r="O15" i="11" a="1"/>
  <c r="O15" i="11" s="1"/>
  <c r="N6" i="11" a="1"/>
  <c r="N6" i="11" s="1"/>
  <c r="R6" i="11" s="1" a="1"/>
  <c r="R6" i="11" s="1"/>
  <c r="B393" i="5"/>
  <c r="M16" i="20" s="1"/>
  <c r="B392" i="5"/>
  <c r="B391" i="5"/>
  <c r="B380" i="5"/>
  <c r="B379" i="5"/>
  <c r="B378" i="5"/>
  <c r="M39" i="20" l="1"/>
  <c r="N23" i="20"/>
  <c r="M23" i="20" s="1"/>
  <c r="N24" i="20"/>
  <c r="M24" i="20" s="1"/>
  <c r="N25" i="20"/>
  <c r="M25" i="20" s="1"/>
  <c r="N22" i="20"/>
  <c r="M22" i="20" s="1"/>
  <c r="M14" i="20"/>
  <c r="M15" i="20"/>
  <c r="M6" i="20"/>
  <c r="N6" i="20" s="1"/>
  <c r="M7" i="20"/>
  <c r="M8" i="20"/>
  <c r="N8" i="20" s="1"/>
  <c r="P24" i="20" l="1"/>
  <c r="P25" i="20"/>
  <c r="P23" i="20"/>
  <c r="N7" i="20"/>
  <c r="M13" i="20" l="1"/>
  <c r="P14" i="20" l="1"/>
  <c r="P16" i="20"/>
  <c r="P15" i="20"/>
  <c r="B377" i="5"/>
  <c r="M5" i="20" s="1"/>
  <c r="P8" i="20" l="1"/>
  <c r="P7" i="20"/>
  <c r="P6" i="20"/>
  <c r="N5" i="20"/>
  <c r="B73" i="5"/>
  <c r="L30" i="31" l="1"/>
  <c r="T6" i="11" a="1"/>
  <c r="T6" i="11" s="1"/>
  <c r="S51" i="20" a="1"/>
  <c r="S51" i="20" s="1"/>
  <c r="S50" i="20" a="1"/>
  <c r="S50" i="20" s="1"/>
  <c r="S49" i="20" a="1"/>
  <c r="S49" i="20" s="1"/>
  <c r="B436" i="5"/>
  <c r="G42" i="20" s="1"/>
  <c r="B402" i="5"/>
  <c r="G24" i="20" s="1"/>
  <c r="H24" i="20" s="1"/>
  <c r="B403" i="5"/>
  <c r="H25" i="20" s="1"/>
  <c r="G25" i="20" l="1"/>
  <c r="B388" i="5"/>
  <c r="G16" i="20" s="1"/>
  <c r="B374" i="5"/>
  <c r="G8" i="20" s="1"/>
  <c r="G61" i="1" l="1"/>
  <c r="F61" i="1"/>
  <c r="G60" i="1"/>
  <c r="F60" i="1"/>
  <c r="G59" i="1"/>
  <c r="F59" i="1"/>
  <c r="G58" i="1"/>
  <c r="F58" i="1"/>
  <c r="I24" i="1" s="1"/>
  <c r="G57" i="1"/>
  <c r="F57" i="1"/>
  <c r="I26" i="1" s="1"/>
  <c r="G56" i="1"/>
  <c r="G55" i="1"/>
  <c r="G54" i="1"/>
  <c r="I28" i="1" s="1"/>
  <c r="G53" i="1"/>
  <c r="G33" i="20" l="1" a="1"/>
  <c r="G33" i="20" s="1"/>
  <c r="G31" i="20" a="1"/>
  <c r="G31" i="20" s="1"/>
  <c r="B421" i="5"/>
  <c r="G34" i="20" s="1"/>
  <c r="B420" i="5"/>
  <c r="B419" i="5"/>
  <c r="G48" i="20" a="1"/>
  <c r="G48" i="20" s="1"/>
  <c r="B462" i="5"/>
  <c r="B463" i="5" s="1"/>
  <c r="B452" i="5"/>
  <c r="G39" i="20" l="1"/>
  <c r="B435" i="5"/>
  <c r="G41" i="20" s="1"/>
  <c r="B236" i="5"/>
  <c r="B276" i="5" s="1"/>
  <c r="B318" i="5" s="1"/>
  <c r="B235" i="5"/>
  <c r="B275" i="5" s="1"/>
  <c r="B317" i="5" s="1"/>
  <c r="B234" i="5"/>
  <c r="B274" i="5" s="1"/>
  <c r="B316" i="5" s="1"/>
  <c r="I40" i="20" l="1"/>
  <c r="I32" i="20"/>
  <c r="I41" i="20"/>
  <c r="I42" i="20"/>
  <c r="I33" i="20"/>
  <c r="I34" i="20"/>
  <c r="G51" i="20" a="1"/>
  <c r="G51" i="20" s="1"/>
  <c r="G50" i="20" a="1"/>
  <c r="G50" i="20" s="1"/>
  <c r="G49" i="20" a="1"/>
  <c r="G49" i="20" s="1"/>
  <c r="I50" i="20" l="1"/>
  <c r="I51" i="20"/>
  <c r="I49" i="20"/>
  <c r="C34" i="20" l="1"/>
  <c r="C33" i="20"/>
  <c r="D51" i="20"/>
  <c r="D34" i="20"/>
  <c r="A55" i="5"/>
  <c r="A46" i="5"/>
  <c r="A33" i="5"/>
  <c r="E7" i="11" a="1"/>
  <c r="E7" i="11" s="1"/>
  <c r="E6" i="11" a="1"/>
  <c r="E6" i="11" s="1"/>
  <c r="H8" i="20"/>
  <c r="G7" i="20"/>
  <c r="D9" i="5"/>
  <c r="C9" i="5"/>
  <c r="B9" i="5"/>
  <c r="G13" i="20"/>
  <c r="I16" i="20" l="1"/>
  <c r="H7" i="20"/>
  <c r="H23" i="20" l="1"/>
  <c r="G23" i="20"/>
  <c r="H22" i="20"/>
  <c r="G22" i="20"/>
  <c r="G6" i="20"/>
  <c r="H6" i="20" s="1"/>
  <c r="G5" i="20"/>
  <c r="I24" i="20" l="1"/>
  <c r="I23" i="20"/>
  <c r="I25" i="20"/>
  <c r="H5" i="20"/>
  <c r="I6" i="20"/>
  <c r="I7" i="20"/>
  <c r="I8" i="20"/>
  <c r="Y16" i="11" l="1"/>
  <c r="Z17" i="11" a="1"/>
  <c r="Z17" i="11" s="1"/>
  <c r="Y15" i="11"/>
  <c r="K17" i="11" l="1" a="1"/>
  <c r="K17" i="11" s="1"/>
  <c r="U17" i="11" a="1"/>
  <c r="U17" i="11" s="1"/>
  <c r="U16" i="11" a="1"/>
  <c r="U16" i="11" s="1"/>
  <c r="H28" i="1"/>
  <c r="AE17" i="11" a="1"/>
  <c r="AE17" i="11" s="1"/>
  <c r="Z16" i="11" a="1"/>
  <c r="Z16" i="11" s="1"/>
  <c r="AE16" i="11" a="1"/>
  <c r="AE16" i="11" s="1"/>
  <c r="Z15" i="11" a="1"/>
  <c r="Z15" i="11" s="1"/>
  <c r="AE15" i="11" a="1"/>
  <c r="AE15" i="11" s="1"/>
  <c r="H26" i="1"/>
  <c r="H24" i="1"/>
  <c r="E15" i="11" a="1"/>
  <c r="E15" i="11" s="1"/>
  <c r="K15" i="11" s="1" a="1"/>
  <c r="K15" i="11" s="1"/>
  <c r="M17" i="11"/>
  <c r="B231" i="5" s="1"/>
  <c r="B271" i="5" s="1"/>
  <c r="B313" i="5" s="1"/>
  <c r="M16" i="11"/>
  <c r="M15" i="11"/>
  <c r="P16" i="11" l="1" a="1"/>
  <c r="P16" i="11" s="1"/>
  <c r="U15" i="11" a="1"/>
  <c r="U15" i="11" s="1"/>
  <c r="C40" i="20"/>
  <c r="B229" i="5"/>
  <c r="B269" i="5" s="1"/>
  <c r="B311" i="5" s="1"/>
  <c r="C41" i="20"/>
  <c r="B230" i="5"/>
  <c r="B270" i="5" s="1"/>
  <c r="B312" i="5" s="1"/>
  <c r="D33" i="20"/>
  <c r="D32" i="20"/>
  <c r="D31" i="20"/>
  <c r="P17" i="11" a="1"/>
  <c r="P17" i="11" s="1"/>
  <c r="C42" i="20"/>
  <c r="P15" i="11" a="1"/>
  <c r="P15" i="11" s="1"/>
  <c r="F15" i="11" l="1" a="1"/>
  <c r="F15" i="11" s="1"/>
  <c r="E16" i="11"/>
  <c r="K16" i="11" s="1" a="1"/>
  <c r="K16" i="11" s="1"/>
  <c r="AD17" i="11" l="1" a="1"/>
  <c r="AD17" i="11" s="1"/>
  <c r="AC17" i="11" a="1"/>
  <c r="AC17" i="11" s="1"/>
  <c r="AB17" i="11" a="1"/>
  <c r="AB17" i="11" s="1"/>
  <c r="AA17" i="11" a="1"/>
  <c r="AA17" i="11" s="1"/>
  <c r="AD16" i="11" a="1"/>
  <c r="AD16" i="11" s="1"/>
  <c r="AC16" i="11" a="1"/>
  <c r="AC16" i="11" s="1"/>
  <c r="AA16" i="11" a="1"/>
  <c r="AA16" i="11" s="1"/>
  <c r="AB16" i="11" a="1"/>
  <c r="AB16" i="11" s="1"/>
  <c r="AD15" i="11" a="1"/>
  <c r="AD15" i="11" s="1"/>
  <c r="AC15" i="11" a="1"/>
  <c r="AC15" i="11" s="1"/>
  <c r="AB15" i="11" a="1"/>
  <c r="AB15" i="11" s="1"/>
  <c r="AA15" i="11" a="1"/>
  <c r="AA15" i="11" s="1"/>
  <c r="Q17" i="11" a="1"/>
  <c r="Q17" i="11" s="1"/>
  <c r="R17" i="11" a="1"/>
  <c r="R17" i="11" s="1"/>
  <c r="S17" i="11" a="1"/>
  <c r="S17" i="11" s="1"/>
  <c r="T17" i="11" a="1"/>
  <c r="T17" i="11" s="1"/>
  <c r="T16" i="11" a="1"/>
  <c r="T16" i="11" s="1"/>
  <c r="S16" i="11" a="1"/>
  <c r="S16" i="11" s="1"/>
  <c r="R16" i="11" a="1"/>
  <c r="R16" i="11" s="1"/>
  <c r="Q16" i="11" a="1"/>
  <c r="Q16" i="11" s="1"/>
  <c r="S15" i="11" a="1"/>
  <c r="S15" i="11" s="1"/>
  <c r="T15" i="11" a="1"/>
  <c r="T15" i="11" s="1"/>
  <c r="R15" i="11" a="1"/>
  <c r="R15" i="11" s="1"/>
  <c r="Q15" i="11" a="1"/>
  <c r="Q15" i="11" s="1"/>
  <c r="I17" i="11" l="1" a="1"/>
  <c r="I17" i="11" s="1"/>
  <c r="I16" i="11" a="1"/>
  <c r="I16" i="11" s="1"/>
  <c r="J17" i="11" a="1"/>
  <c r="J17" i="11" s="1"/>
  <c r="H17" i="11" a="1"/>
  <c r="H17" i="11" s="1"/>
  <c r="G17" i="11" a="1"/>
  <c r="G17" i="11" s="1"/>
  <c r="J16" i="11" a="1"/>
  <c r="J16" i="11" s="1"/>
  <c r="H16" i="11" a="1"/>
  <c r="H16" i="11" s="1"/>
  <c r="G16" i="11" a="1"/>
  <c r="G16" i="11" s="1"/>
  <c r="H15" i="11" a="1"/>
  <c r="H15" i="11" s="1"/>
  <c r="N7" i="11" a="1"/>
  <c r="N7" i="11" s="1"/>
  <c r="F17" i="11" a="1"/>
  <c r="F17" i="11" s="1"/>
  <c r="F16" i="11" a="1"/>
  <c r="F16" i="11" s="1"/>
  <c r="B171" i="5"/>
  <c r="B170" i="5"/>
  <c r="B165" i="5"/>
  <c r="A186" i="5"/>
  <c r="A172" i="5"/>
  <c r="A164" i="5"/>
  <c r="G15" i="11" l="1" a="1"/>
  <c r="G15" i="11" s="1"/>
  <c r="J15" i="11" a="1"/>
  <c r="J15" i="11" s="1"/>
  <c r="I15" i="11" a="1"/>
  <c r="I15" i="11" s="1"/>
  <c r="B225" i="5"/>
  <c r="B226" i="5"/>
  <c r="B227" i="5"/>
  <c r="B265" i="5" l="1"/>
  <c r="B306" i="5" s="1"/>
  <c r="B267" i="5"/>
  <c r="B308" i="5" s="1"/>
  <c r="B266" i="5"/>
  <c r="B307" i="5" s="1"/>
  <c r="W7" i="11"/>
  <c r="AC7" i="11" s="1" a="1"/>
  <c r="AC7" i="11" s="1"/>
  <c r="W6" i="11"/>
  <c r="Z6" i="11" l="1" a="1"/>
  <c r="Z6" i="11" s="1"/>
  <c r="AC6" i="11" a="1"/>
  <c r="AC6" i="11" s="1"/>
  <c r="B134" i="5"/>
  <c r="B159" i="5" s="1"/>
  <c r="B133" i="5"/>
  <c r="B158" i="5" s="1"/>
  <c r="B132" i="5"/>
  <c r="B157" i="5" s="1"/>
  <c r="D7" i="5"/>
  <c r="C7" i="5"/>
  <c r="B7" i="5"/>
  <c r="B387" i="5" l="1"/>
  <c r="G15" i="20" l="1"/>
  <c r="G14" i="20"/>
  <c r="I14" i="20" l="1"/>
  <c r="I15" i="20"/>
  <c r="Z8" i="11" a="1"/>
  <c r="Z8" i="11" s="1"/>
  <c r="Q8" i="11" a="1"/>
  <c r="Q8" i="11" s="1"/>
  <c r="AB8" i="11" a="1"/>
  <c r="AB8" i="11" s="1"/>
  <c r="S8" i="11" a="1"/>
  <c r="S8" i="11" s="1"/>
  <c r="J8" i="11" a="1"/>
  <c r="J8" i="11" s="1"/>
  <c r="H8" i="11" a="1"/>
  <c r="H8" i="11" s="1"/>
  <c r="J7" i="11" l="1" a="1"/>
  <c r="J6" i="11" a="1"/>
  <c r="H6" i="11" a="1"/>
  <c r="H7" i="11" a="1"/>
  <c r="J7" i="11" l="1"/>
  <c r="H7" i="11"/>
  <c r="J6" i="11"/>
  <c r="H6" i="11"/>
  <c r="X8" i="11" a="1"/>
  <c r="X8" i="11" s="1"/>
  <c r="O8" i="11" a="1"/>
  <c r="O8" i="11" s="1"/>
  <c r="F8" i="11" a="1"/>
  <c r="F8" i="11" s="1"/>
  <c r="F6" i="11" a="1"/>
  <c r="F7" i="11" a="1"/>
  <c r="C32" i="32" l="1"/>
  <c r="D32" i="32"/>
  <c r="F7" i="11"/>
  <c r="O6" i="11" a="1"/>
  <c r="F6" i="11"/>
  <c r="H28" i="31" s="1" a="1"/>
  <c r="H28" i="31" s="1"/>
  <c r="S7" i="11" a="1"/>
  <c r="X6" i="11" a="1"/>
  <c r="AB7" i="11" a="1"/>
  <c r="AB6" i="11" a="1"/>
  <c r="Z7" i="11" a="1"/>
  <c r="X7" i="11" a="1"/>
  <c r="Q7" i="11" a="1"/>
  <c r="S6" i="11" a="1"/>
  <c r="K28" i="31" l="1"/>
  <c r="J28" i="31" a="1"/>
  <c r="J28" i="31" s="1"/>
  <c r="O28" i="31" a="1"/>
  <c r="O28" i="31" s="1"/>
  <c r="P28" i="31" a="1"/>
  <c r="P28" i="31" s="1"/>
  <c r="M28" i="31" a="1"/>
  <c r="M28" i="31" s="1"/>
  <c r="I28" i="31" a="1"/>
  <c r="I28" i="31" s="1"/>
  <c r="Q6" i="11" a="1"/>
  <c r="Q6" i="11" s="1"/>
  <c r="O7" i="11" a="1"/>
  <c r="O7" i="11" s="1"/>
  <c r="S7" i="11"/>
  <c r="O6" i="11"/>
  <c r="Q7" i="11"/>
  <c r="AB7" i="11"/>
  <c r="Z7" i="11"/>
  <c r="X7" i="11"/>
  <c r="H32" i="31" s="1" a="1"/>
  <c r="H32" i="31" s="1"/>
  <c r="N32" i="31" s="1" a="1"/>
  <c r="N32" i="31" s="1"/>
  <c r="AB6" i="11"/>
  <c r="X6" i="11"/>
  <c r="S6" i="11"/>
  <c r="H30" i="31" l="1" a="1"/>
  <c r="H30" i="31" s="1"/>
  <c r="K30" i="31"/>
  <c r="I32" i="31" a="1"/>
  <c r="I32" i="31" s="1"/>
  <c r="K32" i="31"/>
  <c r="J32" i="31" a="1"/>
  <c r="J32" i="31" s="1"/>
  <c r="I30" i="31" a="1"/>
  <c r="I30" i="31" s="1"/>
  <c r="P30" i="31" a="1"/>
  <c r="P30" i="31" s="1"/>
  <c r="J30" i="31" a="1"/>
  <c r="J30" i="31" s="1"/>
  <c r="M30" i="31" a="1"/>
  <c r="M30" i="31" s="1"/>
  <c r="O30" i="31" a="1"/>
  <c r="O30" i="31" s="1"/>
  <c r="B288" i="5"/>
  <c r="B293" i="5" s="1"/>
  <c r="B287" i="5"/>
  <c r="B292" i="5" s="1"/>
  <c r="B286" i="5"/>
  <c r="B296" i="5" s="1"/>
  <c r="P32" i="31" l="1" a="1"/>
  <c r="P32" i="31" s="1"/>
  <c r="O32" i="31" a="1"/>
  <c r="O32" i="31" s="1"/>
  <c r="M32" i="31" a="1"/>
  <c r="M32" i="31" s="1"/>
  <c r="D50" i="20"/>
  <c r="D49" i="20"/>
  <c r="D48" i="20"/>
  <c r="D7" i="20"/>
  <c r="D6" i="20"/>
  <c r="D5" i="20"/>
  <c r="D24" i="20"/>
  <c r="D22" i="20"/>
  <c r="D23" i="20"/>
  <c r="E13" i="1"/>
  <c r="Y6" i="11" s="1" a="1"/>
  <c r="B291" i="5"/>
  <c r="B297" i="5"/>
  <c r="B298" i="5"/>
  <c r="F33" i="1"/>
  <c r="Y6" i="11" l="1"/>
  <c r="G33" i="1"/>
  <c r="H33" i="1" l="1"/>
  <c r="M25" i="1" l="1"/>
  <c r="M27" i="1"/>
  <c r="M28" i="1"/>
  <c r="M26" i="1"/>
  <c r="M24" i="1"/>
  <c r="I33" i="1"/>
  <c r="N28" i="1" l="1"/>
  <c r="N26" i="1"/>
  <c r="N24" i="1"/>
  <c r="B143" i="5"/>
  <c r="B150" i="5" s="1"/>
  <c r="B142" i="5"/>
  <c r="B149" i="5" s="1"/>
  <c r="B141" i="5"/>
  <c r="B148" i="5" s="1"/>
  <c r="B208" i="5"/>
  <c r="B207" i="5"/>
  <c r="B206" i="5"/>
  <c r="D42" i="20" l="1"/>
  <c r="D41" i="20"/>
  <c r="D39" i="20"/>
  <c r="D40" i="20"/>
  <c r="D13" i="20"/>
  <c r="D14" i="20"/>
  <c r="D15" i="20"/>
  <c r="B211" i="5"/>
  <c r="B216" i="5" s="1"/>
  <c r="B249" i="5"/>
  <c r="B253" i="5" s="1"/>
  <c r="B258" i="5" s="1"/>
  <c r="B212" i="5"/>
  <c r="B217" i="5" s="1"/>
  <c r="B250" i="5"/>
  <c r="B254" i="5" s="1"/>
  <c r="B259" i="5" s="1"/>
  <c r="B210" i="5"/>
  <c r="B215" i="5" s="1"/>
  <c r="B248" i="5"/>
  <c r="B252" i="5" s="1"/>
  <c r="B257" i="5" s="1"/>
  <c r="F18" i="1"/>
  <c r="E9" i="1"/>
  <c r="D8" i="20"/>
  <c r="K8" i="11" a="1"/>
  <c r="K7" i="11" a="1"/>
  <c r="T8" i="11" a="1"/>
  <c r="T7" i="11" a="1"/>
  <c r="K6" i="11" a="1"/>
  <c r="K7" i="11" l="1"/>
  <c r="K6" i="11"/>
  <c r="T8" i="11"/>
  <c r="T7" i="11"/>
  <c r="K8" i="11"/>
  <c r="N28" i="31" l="1" a="1"/>
  <c r="N28" i="31" s="1"/>
  <c r="N30" i="31" a="1"/>
  <c r="N30" i="31" s="1"/>
  <c r="P6" i="11" a="1"/>
  <c r="P6" i="11" s="1"/>
  <c r="P7" i="11" a="1"/>
  <c r="P7" i="11" s="1"/>
  <c r="P8" i="11" a="1"/>
  <c r="P8" i="11" s="1"/>
  <c r="G6" i="11" l="1" a="1"/>
  <c r="G6" i="11" s="1"/>
  <c r="G13" i="1"/>
  <c r="G8" i="11" a="1"/>
  <c r="G7" i="11" a="1"/>
  <c r="H13" i="1" l="1"/>
  <c r="I13" i="1" s="1"/>
  <c r="D25" i="20"/>
  <c r="G7" i="11"/>
  <c r="G8" i="11"/>
  <c r="D16" i="20"/>
  <c r="M31" i="32" l="1"/>
  <c r="L32" i="31"/>
  <c r="I32" i="32"/>
  <c r="H11" i="1"/>
  <c r="G18" i="1"/>
  <c r="Y8" i="11" a="1"/>
  <c r="M21" i="32" l="1"/>
  <c r="I18" i="1"/>
  <c r="N9" i="1" s="1"/>
  <c r="Y7" i="11" a="1"/>
  <c r="Y7" i="11" s="1"/>
  <c r="H32" i="32"/>
  <c r="H17" i="32"/>
  <c r="H9" i="32" s="1"/>
  <c r="E32" i="32"/>
  <c r="D17" i="32"/>
  <c r="D9" i="32"/>
  <c r="Y8" i="11"/>
  <c r="H18" i="1"/>
  <c r="N13" i="1" l="1"/>
  <c r="N11" i="1"/>
  <c r="N33" i="1"/>
  <c r="M11" i="1"/>
  <c r="M9" i="1"/>
  <c r="M13" i="1"/>
  <c r="N18" i="1" l="1"/>
  <c r="M33" i="1"/>
  <c r="M1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tc={8FC93EEB-A68A-45A9-9B92-68F987EEDFF8}</author>
  </authors>
  <commentList>
    <comment ref="W127" authorId="0" shapeId="0" xr:uid="{00000000-0006-0000-0900-000001000000}">
      <text>
        <t>[Trådet kommentar]
Din version af Excel lader dig læse denne trådede kommentar. Eventuelle ændringer vil dog blive fjernet, hvis filen åbnes i en nyere version af Excel. Få mere at vide: https://go.microsoft.com/fwlink/?linkid=870924
Kommentar:
    https://www.bygningsbevaring.dk/uploads/files/udstillingsplancher/Tegltage-2017_til_print.pdf</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<sst xmlns="http://schemas.openxmlformats.org/spreadsheetml/2006/main" count="997" uniqueCount="408">
  <si>
    <t>BYGNINGSFORNYELSE - VÆRKTØJ TIL MATERIALESCREENING</t>
  </si>
  <si>
    <t>INPUT</t>
  </si>
  <si>
    <t>Materiale</t>
  </si>
  <si>
    <t>Beskrivelse</t>
  </si>
  <si>
    <t>Mængde</t>
  </si>
  <si>
    <t>Årstal</t>
  </si>
  <si>
    <t>Tekniske specifikationer</t>
  </si>
  <si>
    <t>Note</t>
  </si>
  <si>
    <t>Vingetegl</t>
  </si>
  <si>
    <t xml:space="preserve">Hvordan vil du beskrive materialet? (Placering, stand, forekomst etc.)  </t>
  </si>
  <si>
    <t>Hvor mange m2?</t>
  </si>
  <si>
    <t>Hvornår er vingetegl lagt?</t>
  </si>
  <si>
    <t>Hvilken type under eller overstrygning?</t>
  </si>
  <si>
    <t>Hvis vingetegl er fra før 1960 vil under/overstrygningen typisk være kalk. Efter 1960 kan det være kalk, cement &amp; skum bl.a.</t>
  </si>
  <si>
    <t xml:space="preserve">Angiv kort beskrivelse </t>
  </si>
  <si>
    <t xml:space="preserve">Indtast m2 </t>
  </si>
  <si>
    <t xml:space="preserve">Angiv årstal (AAAA) </t>
  </si>
  <si>
    <t>Anvend scroll-down menu</t>
  </si>
  <si>
    <t>Skriv her</t>
  </si>
  <si>
    <t>Tast her</t>
  </si>
  <si>
    <t>Klik her</t>
  </si>
  <si>
    <t>Glas</t>
  </si>
  <si>
    <t>Hvornår er vinduer produceret?</t>
  </si>
  <si>
    <t>Hvor mange lag glas er der?</t>
  </si>
  <si>
    <t>Alderen kan i termoruder findes trykt pa den indvendige metalkant i ruden</t>
  </si>
  <si>
    <t>Mursten</t>
  </si>
  <si>
    <t>Hvornår er murstene lagt?</t>
  </si>
  <si>
    <t>Er murstene pudset?</t>
  </si>
  <si>
    <t>Hvilken type mørtel er anvendt?</t>
  </si>
  <si>
    <t xml:space="preserve">Hvis typen af mørtel ikke kendes,  kan det antages at mursten fra 1960 og derefter er lagt med cementmørtel. </t>
  </si>
  <si>
    <t>Indtast m2</t>
  </si>
  <si>
    <t>Udførelse af kradsetest med ex. kniv kan også være en måde at determinere det på - "let" at udkradse = størst sansynlighed for klak mørtel 
"Svær / umulig" størts sansynlighed cement</t>
  </si>
  <si>
    <t>OUTPUT</t>
  </si>
  <si>
    <t>Input mængde</t>
  </si>
  <si>
    <t xml:space="preserve">Forudsætning(er) for at materialet kan cirkuleres </t>
  </si>
  <si>
    <t>Greb til cirkulering</t>
  </si>
  <si>
    <t>Beskrivelse af greb</t>
  </si>
  <si>
    <t>Potentiel CO2 besparelse for given cirkuleringsgreb</t>
  </si>
  <si>
    <t>Baggrund for potentiel CO2 besparelse</t>
  </si>
  <si>
    <t xml:space="preserve">Indlejret CO2 </t>
  </si>
  <si>
    <t>Materialets potentielle genanvendelsesprocent i nyt produkt</t>
  </si>
  <si>
    <t>Output mængde for given cirkuleringsform</t>
  </si>
  <si>
    <t>Økonomi (difference fra standard nedrivning)</t>
  </si>
  <si>
    <t>Beskrivelse af økonomi</t>
  </si>
  <si>
    <t>Enhed</t>
  </si>
  <si>
    <t>m2</t>
  </si>
  <si>
    <t>%</t>
  </si>
  <si>
    <t>kgCO2eq</t>
  </si>
  <si>
    <t>Pris pr. m2</t>
  </si>
  <si>
    <t>POTENTIELLE BESPARELSER</t>
  </si>
  <si>
    <t>Potentiel CO2 besparelse</t>
  </si>
  <si>
    <t>Potentiel affaldsminimering</t>
  </si>
  <si>
    <t>Potentiel outputmængde</t>
  </si>
  <si>
    <t>Total potentiel kg CO2-eq besparelse</t>
  </si>
  <si>
    <t>Total potentiel affaldsminimering i kg</t>
  </si>
  <si>
    <t xml:space="preserve">Antal referenceboliger, den samlede outputmængde kan omsættes til </t>
  </si>
  <si>
    <t>Mængden af tegl kan omsættes til</t>
  </si>
  <si>
    <t>Det svarer til</t>
  </si>
  <si>
    <t>Det svarer til:</t>
  </si>
  <si>
    <t>X</t>
  </si>
  <si>
    <t xml:space="preserve">Referencehuse </t>
  </si>
  <si>
    <t>Antal danskeres årlige CO2-udslip</t>
  </si>
  <si>
    <t>Antal danskeres årlige affaldsproduktion</t>
  </si>
  <si>
    <t>Mængden af glas kan omsættes til</t>
  </si>
  <si>
    <t>Den totale besparelse fordelt ud på hvert materiale</t>
  </si>
  <si>
    <t>Tegl</t>
  </si>
  <si>
    <t>Mængden af mursten kan omsættes til</t>
  </si>
  <si>
    <t>Argumenter</t>
  </si>
  <si>
    <t>Dette ark dækker de argumenter der bruges til udregningingerne.</t>
  </si>
  <si>
    <t>Udviklet januar 2020 af Lendager Group i samarbejde med MOE</t>
  </si>
  <si>
    <t>Følgende materialer er valgt til screeningsværktøjet</t>
  </si>
  <si>
    <t>Bygningsfornyelse</t>
  </si>
  <si>
    <t>Byrum</t>
  </si>
  <si>
    <t>MATERIALEOUTPUT</t>
  </si>
  <si>
    <t>Antagelser</t>
  </si>
  <si>
    <t>Det antages at der går 14 stk vingetegl til 1 m2</t>
  </si>
  <si>
    <t>Det antages at 80 % af det totale areal er mursten og 20% er mørtel</t>
  </si>
  <si>
    <t>Antal mursten pr m2</t>
  </si>
  <si>
    <t>Beskrivelse af nuværende stand</t>
  </si>
  <si>
    <t>Input for materiale</t>
  </si>
  <si>
    <t>Output</t>
  </si>
  <si>
    <t>Over og Understrygning</t>
  </si>
  <si>
    <t>Andet</t>
  </si>
  <si>
    <t xml:space="preserve">Efter 1970 har man typisk anvendt PUR skum i understrygning, hvilket kan være svært at rense af tegl, der skal genbruges. Muligheden for at fjerne strygningen skal derfor vurderes før cirkuleringsgrebet kan kvalificeres yderligere. </t>
  </si>
  <si>
    <t>Kalk</t>
  </si>
  <si>
    <t>Materialet kan genbruges direkte, da kalk kan bankes af vingetegl.</t>
  </si>
  <si>
    <t>Cement</t>
  </si>
  <si>
    <t xml:space="preserve">Der er risiko for at beskadige materialet ved nedtagning da cementmørtel kan være stærkere end selve vingeteglen. Derfor anbefales en anden nedtagningsmetode og en alternativ genanvendelsesform. </t>
  </si>
  <si>
    <t>Der er ikke under eller overstrygning</t>
  </si>
  <si>
    <t xml:space="preserve">Hvis der hverken er tegn på under- eller overstrygning, bør vingetegl kunne tages nænsomt ned og genbruges direkte. </t>
  </si>
  <si>
    <t>imellem 1950 og 1977</t>
  </si>
  <si>
    <t xml:space="preserve">Der er med stor sansynlighed PCB i forseglingslimen, hvilket gør det ulovligt at genbruge glasset. Bekræftes mistanke om PCB skal hele vinduer sendes til særskilt forbrænding. </t>
  </si>
  <si>
    <t>Ellers</t>
  </si>
  <si>
    <t xml:space="preserve">Metoden for cirkulering er afhængig af, hvilke energikrav, der stilles til klimaskærm. </t>
  </si>
  <si>
    <t xml:space="preserve">1-lags </t>
  </si>
  <si>
    <t xml:space="preserve">En 1-lags rude vil ikke kunne genbruges eller upcycles til ny klimaskærm, der lever op til nuværende energikrav. Glasses bør bevares, men genanvendes til en lavere værdi i ny funktion. </t>
  </si>
  <si>
    <t>2-lags</t>
  </si>
  <si>
    <t xml:space="preserve">En 2-lags rude kan ikke genbruges direkte i klimaskærm under nuværende energikrav. </t>
  </si>
  <si>
    <t>3-lags</t>
  </si>
  <si>
    <t xml:space="preserve">3-lags rude kan direkte genanvendes i en ny klimaskærm under nuværende energikrav. </t>
  </si>
  <si>
    <t>Puds</t>
  </si>
  <si>
    <t>Ja</t>
  </si>
  <si>
    <t xml:space="preserve">Der kan være PCB i puds/maling, som skal vurderes med henblik på cirkulering. </t>
  </si>
  <si>
    <t>Nej</t>
  </si>
  <si>
    <t>Baseret på materialets stand vurderes processen for cirkulering lige til.</t>
  </si>
  <si>
    <t xml:space="preserve">Kalk </t>
  </si>
  <si>
    <t xml:space="preserve"> Mursten med kalkmørtel kan skilles ad og renses, og dermed genbruges direkte. </t>
  </si>
  <si>
    <t xml:space="preserve">Puds + Kalk </t>
  </si>
  <si>
    <t xml:space="preserve">Vær obs på, at der kan være PCB i puds/maling. Dette skal vurderes yderligere før cirkulering afgøres. Mursten med kalkmørtel kan skilles ad og renses, og dermed genbruges direkte. </t>
  </si>
  <si>
    <t>Puds + cement/andet</t>
  </si>
  <si>
    <t xml:space="preserve">Vær obs på, at der kan være PCB i puds/maling. Dette skal vurderes yderligere før cirkulering afgøres. Mursten lagt med cementmørtel kan være svære at skille ad og rense, da cementen ofte vil være stærkere end selve stenene. Derfor anbefales en alternativ nedtagning. </t>
  </si>
  <si>
    <t>Cement og andet</t>
  </si>
  <si>
    <t xml:space="preserve">Mursten lagt med cementmørtel kan være svære at skille ad og rense, da cementen ofte vil være stærkere end selve stenene. Derfor anbefales en alternativ nedtagning. </t>
  </si>
  <si>
    <t>BYRUM</t>
  </si>
  <si>
    <t>Jord</t>
  </si>
  <si>
    <t>Hvis der ikke er prøvetaget+ Ja til det kan blive på matrikel</t>
  </si>
  <si>
    <t>Ingen prøvetagning</t>
  </si>
  <si>
    <t>I forbindelse med gennemførelsen af borearbejde på kortlagt areal, er der fokus på, at såfremt der træffes ukendt forurening så skal arbejdet standses, og miljømyndigheden kontaktes. (Jf. jordforureningsloven §71)</t>
  </si>
  <si>
    <t>Jorden skal prøvetages med henblik på bestemmelse af forureningsomfang.</t>
  </si>
  <si>
    <t>V1/V2</t>
  </si>
  <si>
    <t xml:space="preserve">Jorden skal prøvetages med henblik på forurening. Her kræves en §8 tilladelse.  </t>
  </si>
  <si>
    <t>Områdeklassificeret</t>
  </si>
  <si>
    <t>Hvis der ikke er prøvetaget+ Nej til det kan blive på matrikel</t>
  </si>
  <si>
    <t>Hvis der er prøvetaget + Ja til det kan blive på matrikel</t>
  </si>
  <si>
    <t>Ren jord</t>
  </si>
  <si>
    <t>Hvis der er prøvetaget + nej til det kan blive på matrikel</t>
  </si>
  <si>
    <t>Der skal sættes krav til at entreprenøren genanvender jorden uden for matriklen. Ellers ryger jord på deponi, hvilket resulterer i en stigning på 80-130% i omkostninger for bortkørsel af jord.</t>
  </si>
  <si>
    <t>Forurenet jord</t>
  </si>
  <si>
    <t xml:space="preserve">Idet jord er forurenet kræver det en §19 tilladelse for at kunne bruge jord på matriklen. </t>
  </si>
  <si>
    <t>Hvis der er prøvetaget + Nej til det kan blive på matrikel</t>
  </si>
  <si>
    <t>Der skal sættes krav til at entreprenøren genanvender jorden uden for matriklen. Ellers ryger jord på deponi, hvilket resulterer i en stigning på 50-100% i omkostninger for bortkørsel af jord.</t>
  </si>
  <si>
    <t>Asfalt</t>
  </si>
  <si>
    <t>Før 1976</t>
  </si>
  <si>
    <t xml:space="preserve">Asfalten skal undersøges for indhold af tjærestoffer, idet materialet er fra før 1976. </t>
  </si>
  <si>
    <t>Efter 1976</t>
  </si>
  <si>
    <t>Indebærer risiko</t>
  </si>
  <si>
    <t>Asfalt som erstatter stabilgrus skal perforereres, så vand føres nedad - og ikke mod bygningers facader og fundamenter. 
I den forbindelse bør det undersøges, om grunden er forurenet efter Jordforureningsloven, da øget udvaskning på forurenet grund kan medføre øget forurening af grundvand.</t>
  </si>
  <si>
    <t>Beton</t>
  </si>
  <si>
    <t>synlig maling eller oliespild</t>
  </si>
  <si>
    <t xml:space="preserve">Materialet skal kontrolleres for miljøfarlige stoffer før det kan renses. </t>
  </si>
  <si>
    <t>Ingen synlig maling eller oliespild</t>
  </si>
  <si>
    <t>Er vingetegl nakkede?</t>
  </si>
  <si>
    <t>Kaskadeniveau</t>
  </si>
  <si>
    <t>Antagelser for vurdering af kaskadeniveau. Dette er baseret på Lendager Groups erfaring.</t>
  </si>
  <si>
    <t>Greb</t>
  </si>
  <si>
    <t>Input</t>
  </si>
  <si>
    <t>Kilde</t>
  </si>
  <si>
    <t>Hvis der er benyttet kalk som mørtel vil det kunne gå til 1-1 genbrug</t>
  </si>
  <si>
    <t>Lendager Group</t>
  </si>
  <si>
    <t>Alder ift Kaskadeniveau</t>
  </si>
  <si>
    <t>Fra</t>
  </si>
  <si>
    <t>Til</t>
  </si>
  <si>
    <t>Innobyg - Materialeatlas</t>
  </si>
  <si>
    <t>Nu</t>
  </si>
  <si>
    <t>https://www.innobyg.dk/media/75876/materialeatlas.pdf</t>
  </si>
  <si>
    <t>nu</t>
  </si>
  <si>
    <t xml:space="preserve">PCB i </t>
  </si>
  <si>
    <t>Lag glas ift Kaskadeniveau</t>
  </si>
  <si>
    <t>Der blev brugt cement som mørtel fra</t>
  </si>
  <si>
    <t>Mørtel</t>
  </si>
  <si>
    <t xml:space="preserve">BEK nr. 1452 af 07/12/2015 Jordflytningsbekendtgørelsen. Miljø- og fødevareministeriet, 2015.  </t>
  </si>
  <si>
    <t>Forurenet Jord</t>
  </si>
  <si>
    <t>Vejledning i Håndtering af forurenet jord på Sjælland, udarbejdet 2001.</t>
  </si>
  <si>
    <t>Disclaimers</t>
  </si>
  <si>
    <t>Jorden skal prøvetages.</t>
  </si>
  <si>
    <t>Jordforureningsloven, Miljø- og fødevareministeriet 2017.</t>
  </si>
  <si>
    <t>Disclaimer</t>
  </si>
  <si>
    <t>Genbrug</t>
  </si>
  <si>
    <t>Straight forward</t>
  </si>
  <si>
    <t>Asfalt som erstatter stabilgrus skal perforereres, således at vandes føres nedad og ikke mod bygningers facader og fundamenter. 
I den forbindelse bør det undersøges, om grunden er forurenet efter Jordforureningsloven, fordi øget udvaskning på forurenet grund kan medføre øget forurening af grundvand.</t>
  </si>
  <si>
    <t>Genanvendelse, til erstatning af ny asfalt</t>
  </si>
  <si>
    <t>Downcycling, til erstatning af andre materialer</t>
  </si>
  <si>
    <t>Idet asfalten er fra før 1976 skal muligt indhold af tjærestoffer undersøges før materialet cirkuleres.</t>
  </si>
  <si>
    <t>Upcycling</t>
  </si>
  <si>
    <t>Downcycling</t>
  </si>
  <si>
    <t>Mulig indeholdende miljøfarlige stoffer bør tjekkes først, hvis muligt at rense så kan det indgå på et højere kaskadeniveau</t>
  </si>
  <si>
    <t>CO2 besparelse for de forskellige kaskadeniveaur</t>
  </si>
  <si>
    <t>Antagelser for vurdering af CO2 besparelser for de forskellige kaskadeniveau. Dette er baseret på Lendager Groups erfaring.</t>
  </si>
  <si>
    <t>BYGNINGSFORNYELSE</t>
  </si>
  <si>
    <t>CO2 besparelse for anvendt greb</t>
  </si>
  <si>
    <t>Lendager Group + SBI, 2019 - Livscyklusvurdering for cirkulære
løsninger med fokus på klimapåvirkning</t>
  </si>
  <si>
    <t>Lendager GroupLendager Group + SBI, 2019 - Livscyklusvurdering for cirkulære
løsninger med fokus på klimapåvirkning</t>
  </si>
  <si>
    <t>Genanvendelse af 2000 gamle mursten sparer miljøet for 1 ton CO2.</t>
  </si>
  <si>
    <t>Genanvendelsesprocent</t>
  </si>
  <si>
    <t>Outputmængde</t>
  </si>
  <si>
    <t>Procent</t>
  </si>
  <si>
    <t>Trælasten, idékatalog</t>
  </si>
  <si>
    <t>Baseret på at det bruges som tilslag</t>
  </si>
  <si>
    <t>Lendager UP Krone Vinduer</t>
  </si>
  <si>
    <t>Baseret på at det bruges i drivhuse</t>
  </si>
  <si>
    <t xml:space="preserve">Lendager UP Mursten </t>
  </si>
  <si>
    <t>Potentielle Besparelser</t>
  </si>
  <si>
    <t>CO2 besparelse omregnet til antal mennesker</t>
  </si>
  <si>
    <t>Reference</t>
  </si>
  <si>
    <t>Amount of CO2 emission per reference</t>
  </si>
  <si>
    <t>Unit</t>
  </si>
  <si>
    <t>Average Dane anually</t>
  </si>
  <si>
    <t>kg CO2-eq/year/person</t>
  </si>
  <si>
    <t>http://www.truthstudio.com/content/CREEA_Global_Resource_Footprint_of_Nations.pdf</t>
  </si>
  <si>
    <t>Affaldsmængde pr indbygger</t>
  </si>
  <si>
    <t>Mængde affald pr dansker pr år</t>
  </si>
  <si>
    <t>kg</t>
  </si>
  <si>
    <t>https://www.dn.dk/vi-arbejder-for/baeredygtighed/affald/</t>
  </si>
  <si>
    <t>Økonomi</t>
  </si>
  <si>
    <t>Økonomi er udregnet på nedrivning/nedtagning af givent materiale, samt hvad det vil koste at opføre et nyt produkt af det givne materiale. Dette er illustreret nedenfor:</t>
  </si>
  <si>
    <t xml:space="preserve">De forskellige materialer er beregnet baseret på de forskellige greb til cirkulering. </t>
  </si>
  <si>
    <t>Nedrivningsmetode</t>
  </si>
  <si>
    <t>Pris</t>
  </si>
  <si>
    <t>Standard Nedrivning af vingetegl</t>
  </si>
  <si>
    <t>DKK/m2</t>
  </si>
  <si>
    <t>Innobyg - Den Cirkulære Ressourceplan</t>
  </si>
  <si>
    <t>Selektiv Nedrivning af vingetegl, genbrug o upcycling</t>
  </si>
  <si>
    <t>Selektiv Nedrivning af vingetegl, downcycling</t>
  </si>
  <si>
    <t>Lendager</t>
  </si>
  <si>
    <t>Groft estimat</t>
  </si>
  <si>
    <t>Lineær produktion af vingetegl</t>
  </si>
  <si>
    <t>Molio</t>
  </si>
  <si>
    <t>Cirkulering - GENBRUG - produktion</t>
  </si>
  <si>
    <t>Estimering fra industrien</t>
  </si>
  <si>
    <t>Cirkulering - UPCYCLING- produktion</t>
  </si>
  <si>
    <t>Estimering ressourcerækker</t>
  </si>
  <si>
    <t>Cirkulering - DOWNCYCLING - produktion</t>
  </si>
  <si>
    <t>Standard Nedrivning af glas, lejlighedsvindue</t>
  </si>
  <si>
    <t>Selektiv Nedrivning af glas, genbrug + upcycling</t>
  </si>
  <si>
    <t>Selektiv Nedrivning af glas, downcycling</t>
  </si>
  <si>
    <t>Lineær produktion af glas</t>
  </si>
  <si>
    <t>DKK/enhed</t>
  </si>
  <si>
    <t>Dannebrogvindue, molio</t>
  </si>
  <si>
    <t>Standard Nedrivning af mursten</t>
  </si>
  <si>
    <t>DKK/sten</t>
  </si>
  <si>
    <t>Selektiv Nedrivning af mursten, Genbrug</t>
  </si>
  <si>
    <t>Selektiv Nedrivning af mursten, Upcycling</t>
  </si>
  <si>
    <t>Selektiv Nedrivning af mursten, Downcycling</t>
  </si>
  <si>
    <t>Lineær produktion af mursten</t>
  </si>
  <si>
    <t>Opgravning af jord</t>
  </si>
  <si>
    <t>DKK/m3</t>
  </si>
  <si>
    <t>Teknik og Miljøforvaltningen</t>
  </si>
  <si>
    <t>Klasse 0-1</t>
  </si>
  <si>
    <t>Klasse 2-3</t>
  </si>
  <si>
    <t>Klasse 4</t>
  </si>
  <si>
    <t xml:space="preserve">Lineær produktion </t>
  </si>
  <si>
    <t xml:space="preserve">Standard Nedrivning </t>
  </si>
  <si>
    <t>MOE</t>
  </si>
  <si>
    <t>Includes transport within 5km, including disposal fee. Assumed thickness  is 60 mm</t>
  </si>
  <si>
    <t>Selektiv Nedrivning</t>
  </si>
  <si>
    <t>Selektiv Nedrivning, downcycling</t>
  </si>
  <si>
    <t>Perforering</t>
  </si>
  <si>
    <t>Fundament</t>
  </si>
  <si>
    <t>dkk/M2</t>
  </si>
  <si>
    <t>antaget tykkelse på 0,2m</t>
  </si>
  <si>
    <t>Selektiv Nedrivning a</t>
  </si>
  <si>
    <t>Belægning</t>
  </si>
  <si>
    <t xml:space="preserve">Selektiv Nedrivning </t>
  </si>
  <si>
    <t>Lineær produktion af belægning</t>
  </si>
  <si>
    <t>Tekst til økonomi</t>
  </si>
  <si>
    <t>fundament genbrug</t>
  </si>
  <si>
    <t xml:space="preserve">Det vurderes at der vil være en stigning på 40% ved nænsom aftagning af fundament. </t>
  </si>
  <si>
    <t>Belægning genbrug</t>
  </si>
  <si>
    <t xml:space="preserve">Det vurderes at der vil være en stigning på 10% ved nænsom aftagning af belægningen. </t>
  </si>
  <si>
    <t>Fundament upcycling</t>
  </si>
  <si>
    <t>Belægning upcyclng</t>
  </si>
  <si>
    <t>Fundament downcycling</t>
  </si>
  <si>
    <t>Belægning downcycling</t>
  </si>
  <si>
    <t>GENERELT</t>
  </si>
  <si>
    <t>Sprog er på dansk</t>
  </si>
  <si>
    <t>nej</t>
  </si>
  <si>
    <t>Kan her ændres, så svarene kører på engelsk</t>
  </si>
  <si>
    <t>Cirkuleringsgreb</t>
  </si>
  <si>
    <t>Metode</t>
  </si>
  <si>
    <t>Muliggørelse</t>
  </si>
  <si>
    <t>Outputvurdering</t>
  </si>
  <si>
    <t>CO2 besparelse</t>
  </si>
  <si>
    <t>% CO2 besparelse</t>
  </si>
  <si>
    <t>Retningslinjer</t>
  </si>
  <si>
    <t>% Materiales genanvendelse</t>
  </si>
  <si>
    <t>Retningslinje</t>
  </si>
  <si>
    <t>[kgCO2eq]</t>
  </si>
  <si>
    <t xml:space="preserve">Vingetegl renses og genbruges direkte på nyt tag </t>
  </si>
  <si>
    <t xml:space="preserve">CO2-besparelsen er altid projektafhængig og kan variere pba. processen for både nedtagning og oparbejdning af materialet. Ved direkte genbrug er besparelsen klart størst, da processen ikke kræver stor energi- eller materialetilførsel. </t>
  </si>
  <si>
    <t>Glas renses og genbruges direkte i nye klimaskærme.</t>
  </si>
  <si>
    <t xml:space="preserve">Mursten renses og genbruges direkte i ny facade (eller som belægning). </t>
  </si>
  <si>
    <t xml:space="preserve">Når nyt murværk bygges af gamle mursten modregnes transport, rens og ny kalk-mørtel, hvorfor den samlede CO2-besparelse lander på knap 80%.  </t>
  </si>
  <si>
    <t>Vingetegl skæres i halve, og mures op som tung facade</t>
  </si>
  <si>
    <t xml:space="preserve">CO2 besparelsen er altid projektafhængig, men ved upcycling kræver det generelt en mere omfattende oparbejdningsproces end ved direkte genbrug. Dette betyder som regel en  lavere CO2-besparelse, der afhænger af måden  materialet skæres og monteres på . </t>
  </si>
  <si>
    <t xml:space="preserve">Glas renses og upcycles til nye klimaskærme gennem dobbeltkarmsvinduer. </t>
  </si>
  <si>
    <t xml:space="preserve">Ved sammensætning af gamle ruder i nyt dobbeltkarmsvindue vil der i nogle tilfælde skulle tilføjes nye ruder, for at få ligningen til at gå op. I takt med at designprocessen optimeres, må det forventes at CO2-besparelsen også bliver tættere på 100%. </t>
  </si>
  <si>
    <t>Murstenfacade skæres ud i større modul-blokke og genbruges i ny facade (eller i landskabsarkitektur).</t>
  </si>
  <si>
    <t xml:space="preserve">CO2-besparelsen ved upcycling af udskårne mur-elementer afhænger i høj grad af, hvordan mur-elementer støttes og monteres (fx ved støbning af betonbagmur eller montering på stålramme-system. </t>
  </si>
  <si>
    <t xml:space="preserve">Hvis ikke tegl kan renses til direkte genbrug bør de knuses og bruges i en ny funktion; fx terrazzo-støbning eller grus </t>
  </si>
  <si>
    <t xml:space="preserve">Bag "downcycling" gemmer sig en lang række  genbrugsmetoder, hvor teglen bruges i ny funktioner, men til en lavere værdi en originalt. Dette giver et større spænd over den potentielle CO2-besparelsen. </t>
  </si>
  <si>
    <t xml:space="preserve">Glas genbruges i ny funktion men ved lavere værdi; fx i drivhuse eller skillevægge.  </t>
  </si>
  <si>
    <t>CO2-besparelsen vil altid være projektafhængig, og kan afhængige en smule af montering og valg/genbrug af type ramme og karm</t>
  </si>
  <si>
    <t>Mursten knuses til ny funktion så som terrazzo-støbning (eller stabilgrus og vejfyld)</t>
  </si>
  <si>
    <t xml:space="preserve">Bag "downcycling" gemmer sig en lang række  genbrugsmetoder, hvor mursten bruges i ny funktioner, men til en lavere værdi en originalt. Dette giver et bredt spænd over den potentielle CO2-besparelse.   </t>
  </si>
  <si>
    <t>m3</t>
  </si>
  <si>
    <t>Genbrug på matriklen</t>
  </si>
  <si>
    <t>Jord benyttes 1:1 på stedet</t>
  </si>
  <si>
    <t>Asfalt bliver liggende og benyttes 1:1 på stedet</t>
  </si>
  <si>
    <t>Betonelementer kan benyttes 1:1</t>
  </si>
  <si>
    <t>Genbrug eller genanvendelse udenfor matriklen</t>
  </si>
  <si>
    <t>Jord renses, og benyttes 1:1 et andet sted inkl kørsel</t>
  </si>
  <si>
    <t>Asfalt bortkøres, og der stilles udbudskrav til upcycling ifm. afsætning</t>
  </si>
  <si>
    <t>Betonelementer knuses til ny betonproduktion</t>
  </si>
  <si>
    <t>Deponi</t>
  </si>
  <si>
    <t>Jord køres til deponi</t>
  </si>
  <si>
    <t>ja</t>
  </si>
  <si>
    <t>Asfalt bortkøres til traditionel genanvendelse</t>
  </si>
  <si>
    <t>Betonelementer knuses til ny funktion</t>
  </si>
  <si>
    <t>Fokus</t>
  </si>
  <si>
    <t>Material</t>
  </si>
  <si>
    <t>Element</t>
  </si>
  <si>
    <t>Stk</t>
  </si>
  <si>
    <t>ton</t>
  </si>
  <si>
    <t xml:space="preserve">CO2 </t>
  </si>
  <si>
    <t>Tykkelse (m)</t>
  </si>
  <si>
    <t>CO2</t>
  </si>
  <si>
    <t>Total</t>
  </si>
  <si>
    <t>Materialedatabase</t>
  </si>
  <si>
    <t>Type</t>
  </si>
  <si>
    <t>Densitet [ton/m3]</t>
  </si>
  <si>
    <t xml:space="preserve">Produktion
[kgCO2eq/unit] </t>
  </si>
  <si>
    <t>End of Life 
[kgCO2eq/unit]</t>
  </si>
  <si>
    <t>Recovery 
[kgCO2eq/unit]</t>
  </si>
  <si>
    <t xml:space="preserve">Materialedatabasen skal opdateres løbende, for at sikre validiteten af værdierne. </t>
  </si>
  <si>
    <t>Ceramic</t>
  </si>
  <si>
    <t>RoofTile</t>
  </si>
  <si>
    <t>Glass</t>
  </si>
  <si>
    <t>2-glazing_curtainwall</t>
  </si>
  <si>
    <t>2-glazing_skylight</t>
  </si>
  <si>
    <t>2-glazing_window</t>
  </si>
  <si>
    <t>3-glazing_curtainwall</t>
  </si>
  <si>
    <t>3-glazing_skylight</t>
  </si>
  <si>
    <t>3-glazing_window</t>
  </si>
  <si>
    <t>Single-glazing_interiorwall</t>
  </si>
  <si>
    <t>Brick</t>
  </si>
  <si>
    <t>Wall</t>
  </si>
  <si>
    <t>Beton mursten</t>
  </si>
  <si>
    <t>Beton C30/37</t>
  </si>
  <si>
    <t>Construction</t>
  </si>
  <si>
    <t>Lersten</t>
  </si>
  <si>
    <t>Naturstensplade</t>
  </si>
  <si>
    <t>Udendørsbrug</t>
  </si>
  <si>
    <t>Støbeasfalt</t>
  </si>
  <si>
    <t>Gravel 2/32 wet</t>
  </si>
  <si>
    <t>Gravel 2/32 dried</t>
  </si>
  <si>
    <t>Sand 0/2 undried</t>
  </si>
  <si>
    <t>Sand 0/2 dried</t>
  </si>
  <si>
    <t>Det er muligt at indbygge op til 30% genbrugt asfalt i vejbelægning</t>
  </si>
  <si>
    <r>
      <rPr>
        <b/>
        <sz val="16"/>
        <color theme="1"/>
        <rFont val="Century Gothic"/>
        <family val="2"/>
      </rPr>
      <t>Comparison with reference house</t>
    </r>
    <r>
      <rPr>
        <b/>
        <sz val="10"/>
        <color theme="1"/>
        <rFont val="Century Gothic"/>
        <family val="2"/>
      </rPr>
      <t xml:space="preserve">
</t>
    </r>
    <r>
      <rPr>
        <b/>
        <sz val="12"/>
        <color theme="1"/>
        <rFont val="Century Gothic"/>
        <family val="2"/>
      </rPr>
      <t>// How many referencehouses can be made of the mapped materials</t>
    </r>
  </si>
  <si>
    <r>
      <t xml:space="preserve">Enter your mapped material amounts in </t>
    </r>
    <r>
      <rPr>
        <b/>
        <sz val="10"/>
        <color theme="1"/>
        <rFont val="Century Gothic"/>
        <family val="2"/>
      </rPr>
      <t>only the yellow cells</t>
    </r>
    <r>
      <rPr>
        <sz val="10"/>
        <color theme="1"/>
        <rFont val="Century Gothic"/>
        <family val="2"/>
      </rPr>
      <t xml:space="preserve"> for calculating the reference amounts. </t>
    </r>
  </si>
  <si>
    <t>Reference house</t>
  </si>
  <si>
    <t>Discription</t>
  </si>
  <si>
    <t>House</t>
  </si>
  <si>
    <t>Area</t>
  </si>
  <si>
    <t>Perimeter</t>
  </si>
  <si>
    <t>10 x 10</t>
  </si>
  <si>
    <t>m</t>
  </si>
  <si>
    <t>Floor height</t>
  </si>
  <si>
    <t xml:space="preserve">Area of external wall </t>
  </si>
  <si>
    <t>Area of roof</t>
  </si>
  <si>
    <t>Assumptions</t>
  </si>
  <si>
    <t>Window percentage of the facade = 30 %, thickness 0,01 m</t>
  </si>
  <si>
    <t>Concrete amount: 30 m3 for floor slab (300 mm thick) + 46,56 m3 for walls (perimeter, 300 mm thick) = 76,56 m3 concrete per 100 m2 apartment = 183,7 ton (estimated based on the calculater at dansk mobilbeton http://danskmobilbeton.dk/betonberegnere/ )</t>
  </si>
  <si>
    <t>Percentage of brick cuts for brick wall = 80 %, thickness 0,1 m</t>
  </si>
  <si>
    <t>Volume dirt 1 m3 per m2 house area</t>
  </si>
  <si>
    <t>20 m2 aspalt for driveway, 10 cm thickness</t>
  </si>
  <si>
    <t>Area og brick roof 100% roof area, thicknes 0,02 m</t>
  </si>
  <si>
    <t>Amount of materials reference house</t>
  </si>
  <si>
    <t>Windows</t>
  </si>
  <si>
    <t>Brick Roof tiles</t>
  </si>
  <si>
    <t>Concrete</t>
  </si>
  <si>
    <t>Dirt</t>
  </si>
  <si>
    <t>Asphalt</t>
  </si>
  <si>
    <t>Density windows</t>
  </si>
  <si>
    <t>t/m2</t>
  </si>
  <si>
    <t>Density Brick</t>
  </si>
  <si>
    <t>Density brick roof tiles</t>
  </si>
  <si>
    <t>Density concrete</t>
  </si>
  <si>
    <t>t/m3</t>
  </si>
  <si>
    <t>Density Dirt</t>
  </si>
  <si>
    <t>Density Asphalt</t>
  </si>
  <si>
    <t>MATERIALEINPUT</t>
  </si>
  <si>
    <t>NEDRIVNING</t>
  </si>
  <si>
    <t>OPBEVARING?</t>
  </si>
  <si>
    <t>PRODUKT</t>
  </si>
  <si>
    <t>Pris pr m2</t>
  </si>
  <si>
    <t>Pris pr enhed</t>
  </si>
  <si>
    <t>Difference pr m2</t>
  </si>
  <si>
    <t>Beskrivelse Økonomi</t>
  </si>
  <si>
    <t>Lineær</t>
  </si>
  <si>
    <t xml:space="preserve">Det vurderes, at nænsom nedtagning af vingetegl vil medføre en stigning i nedrivningsomkostninger på 60-80%. </t>
  </si>
  <si>
    <t xml:space="preserve">Det vurderes, at nedtagning med henblik på downcycling er 5-10% dyrere end konventionel nedrivning da tegl ikke skal tages ned nænsomt men dog sorteres og bevares i modsætning til almindeligt byggeaffald.  </t>
  </si>
  <si>
    <t>-</t>
  </si>
  <si>
    <t xml:space="preserve">Det vurderes, at nænsom nedtagning af vinduer vil medføre en stigning i nedrivningsomkostninger på 10-20 procent. </t>
  </si>
  <si>
    <t>Det vurderes, at nænsom nedtagning af vinduer vil medføre en stigning i nedrivningsomkostninger på 10-20 procent.  Ønskes glas dowcyclet ved knusning og ikke bevaring vil stigning i omkostning ligge på 5-10 procent, idet glas ikke skal håndteres nænsomt, blot sorteres og opbevares.</t>
  </si>
  <si>
    <t xml:space="preserve">Der vurderes en stigning på 50% i nedrivningsomkostninger ved nænsom nedtagning. Denne vurdering er vejledende og afhænger bl.a. af type puds på ydersiden.  </t>
  </si>
  <si>
    <t xml:space="preserve">Der vurderes en stigning på ca.100% i omkostninger ved nedtagning. Denne vurdering er vejledende, da metoden for nedtagning via udskæring er relativ ny, uprøvet og under udvikling. </t>
  </si>
  <si>
    <t xml:space="preserve">Det vurderes, at nedrivningsomkostningerne for nedtagning for downcycling er 5-10% højere end ved standard nedrivning, idet mursten ikke skal nænsomt håndteres men trods alt sorteres og opbevares. </t>
  </si>
  <si>
    <t>BORTKØRSEL</t>
  </si>
  <si>
    <t>pris pr m3</t>
  </si>
  <si>
    <t>Difference pr m3</t>
  </si>
  <si>
    <t>Idet jorden ikke køres væk, så sættes bortkørsel af jord til 0 kr</t>
  </si>
  <si>
    <t>Ved genbrug af jord på anden matrikel vurderes at der ikke er ekstra omkostninger.</t>
  </si>
  <si>
    <t xml:space="preserve">Det vurderes at når jord køres på Deponi, er dette et resultat af at jord er kraftigt forurenet. Derfor er der ekstra omkostninger iform af bortkørsel samt håndtering af forurenet jord. </t>
  </si>
  <si>
    <t>AFTAGNING AF ASFALT</t>
  </si>
  <si>
    <t>Idet asfaltbelægningen  ikke køres væk, så sættes bortkørsel af asfalt til 0 kr</t>
  </si>
  <si>
    <t xml:space="preserve">Det vurderes at der vil være en stigning på 20% ved nænsom aftagning af asfaltbelægning. </t>
  </si>
  <si>
    <t xml:space="preserve">Det vurderes at der vil være en stigning på 10% ved nænsom aftagning af asfaltbelægning til downcycling.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</si>
</sst>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kr.&quot;_-;\-* #,##0.00\ &quot;kr.&quot;_-;_-* &quot;-&quot;??\ &quot;kr.&quot;_-;_-@_-"/>
    <numFmt numFmtId="164" formatCode="_ * #,##0.00_ ;_ * \-#,##0.00_ ;_ * &quot;-&quot;??_ ;_ @_ "/>
    <numFmt numFmtId="165" formatCode="0.0"/>
    <numFmt numFmtId="166" formatCode="0.0%"/>
    <numFmt numFmtId="167" formatCode="#,##0.00\ &quot;kr.&quot;"/>
    <numFmt numFmtId="168" formatCode="0.000"/>
  </numFmts>
  <fonts count="58" x14ac:knownFonts="1">
    <font>
      <sz val="11"/>
      <color theme="1"/>
      <name val="Calibri"/>
      <family val="2"/>
      <scheme val="minor"/>
    </font>
    <font>
      <sz val="11"/>
      <color theme="1"/>
      <name val="Calibri"/>
      <family val="2"/>
      <scheme val="minor"/>
    </font>
    <font>
      <sz val="10"/>
      <color theme="1"/>
      <name val="Century Gothic"/>
      <family val="2"/>
    </font>
    <font>
      <sz val="11"/>
      <color theme="1"/>
      <name val="Century Gothic"/>
      <family val="2"/>
    </font>
    <font>
      <b/>
      <sz val="10"/>
      <color theme="1"/>
      <name val="Century Gothic"/>
      <family val="2"/>
    </font>
    <font>
      <u/>
      <sz val="11"/>
      <color theme="10"/>
      <name val="Calibri"/>
      <family val="2"/>
      <scheme val="minor"/>
    </font>
    <font>
      <b/>
      <sz val="14"/>
      <color theme="1"/>
      <name val="Century Gothic"/>
      <family val="2"/>
    </font>
    <font>
      <b/>
      <sz val="11"/>
      <color theme="1"/>
      <name val="Century Gothic"/>
      <family val="2"/>
    </font>
    <font>
      <sz val="8"/>
      <name val="Calibri"/>
      <family val="2"/>
      <scheme val="minor"/>
    </font>
    <font>
      <sz val="10"/>
      <name val="Arial"/>
      <family val="2"/>
    </font>
    <font>
      <sz val="10"/>
      <color rgb="FF000000"/>
      <name val="Arial"/>
      <family val="2"/>
    </font>
    <font>
      <sz val="12"/>
      <name val="Times New Roman"/>
      <family val="1"/>
    </font>
    <font>
      <b/>
      <sz val="36"/>
      <color rgb="FF000C2E"/>
      <name val="Century Gothic"/>
      <family val="2"/>
    </font>
    <font>
      <sz val="11"/>
      <color rgb="FF000C2E"/>
      <name val="Century Gothic"/>
      <family val="2"/>
    </font>
    <font>
      <b/>
      <sz val="22"/>
      <color rgb="FF000C2E"/>
      <name val="Century Gothic"/>
      <family val="2"/>
    </font>
    <font>
      <sz val="48"/>
      <color rgb="FF000C2E"/>
      <name val="Century Gothic"/>
      <family val="2"/>
    </font>
    <font>
      <b/>
      <sz val="16"/>
      <color rgb="FF000C2E"/>
      <name val="Century Gothic"/>
      <family val="2"/>
    </font>
    <font>
      <b/>
      <sz val="14"/>
      <color rgb="FF000C2E"/>
      <name val="Century Gothic"/>
      <family val="2"/>
    </font>
    <font>
      <b/>
      <sz val="20"/>
      <color rgb="FF000C2E"/>
      <name val="Century Gothic"/>
      <family val="2"/>
    </font>
    <font>
      <sz val="12"/>
      <color rgb="FF000C2E"/>
      <name val="Century Gothic"/>
      <family val="2"/>
    </font>
    <font>
      <i/>
      <sz val="10"/>
      <color rgb="FF000C2E"/>
      <name val="Century Gothic"/>
      <family val="2"/>
    </font>
    <font>
      <sz val="20"/>
      <color rgb="FF000C2E"/>
      <name val="Century Gothic"/>
      <family val="2"/>
    </font>
    <font>
      <sz val="10"/>
      <color rgb="FF000C2E"/>
      <name val="Century Gothic"/>
      <family val="2"/>
    </font>
    <font>
      <sz val="14"/>
      <color rgb="FF000C2E"/>
      <name val="Century Gothic"/>
      <family val="2"/>
    </font>
    <font>
      <b/>
      <sz val="12"/>
      <color rgb="FF000C2E"/>
      <name val="Century Gothic"/>
      <family val="2"/>
    </font>
    <font>
      <b/>
      <sz val="11"/>
      <color rgb="FF000C2E"/>
      <name val="Century Gothic"/>
      <family val="2"/>
    </font>
    <font>
      <b/>
      <sz val="18"/>
      <color rgb="FF000C2E"/>
      <name val="Century Gothic"/>
      <family val="2"/>
    </font>
    <font>
      <sz val="36"/>
      <color rgb="FF000C2E"/>
      <name val="Century Gothic"/>
      <family val="2"/>
    </font>
    <font>
      <sz val="28"/>
      <color rgb="FF000C2E"/>
      <name val="Century Gothic"/>
      <family val="2"/>
    </font>
    <font>
      <sz val="16"/>
      <color rgb="FF000C2E"/>
      <name val="Century Gothic"/>
      <family val="2"/>
    </font>
    <font>
      <u/>
      <sz val="11"/>
      <color rgb="FF000C2E"/>
      <name val="Calibri"/>
      <family val="2"/>
      <scheme val="minor"/>
    </font>
    <font>
      <b/>
      <sz val="10"/>
      <color rgb="FF000C2E"/>
      <name val="Century Gothic"/>
      <family val="2"/>
    </font>
    <font>
      <sz val="18"/>
      <color rgb="FF000C2E"/>
      <name val="Century Gothic"/>
      <family val="2"/>
    </font>
    <font>
      <sz val="11"/>
      <color rgb="FF000C2E"/>
      <name val="Calibri"/>
      <family val="2"/>
    </font>
    <font>
      <sz val="26"/>
      <color rgb="FF000C2E"/>
      <name val="Century Gothic"/>
      <family val="2"/>
    </font>
    <font>
      <sz val="11"/>
      <color rgb="FF000C2E"/>
      <name val="Calibri"/>
      <family val="2"/>
      <scheme val="minor"/>
    </font>
    <font>
      <sz val="22"/>
      <color rgb="FF000C2E"/>
      <name val="Century Gothic"/>
      <family val="2"/>
    </font>
    <font>
      <b/>
      <sz val="7"/>
      <color rgb="FF000C2E"/>
      <name val="Century Gothic"/>
      <family val="2"/>
    </font>
    <font>
      <sz val="10"/>
      <color rgb="FF000C2E"/>
      <name val="Calibri"/>
      <family val="2"/>
      <scheme val="minor"/>
    </font>
    <font>
      <b/>
      <sz val="24"/>
      <color rgb="FF000C2E"/>
      <name val="Century Gothic"/>
      <family val="2"/>
    </font>
    <font>
      <b/>
      <sz val="14"/>
      <color theme="0"/>
      <name val="Century Gothic"/>
      <family val="2"/>
    </font>
    <font>
      <sz val="11"/>
      <color theme="0"/>
      <name val="Century Gothic"/>
      <family val="2"/>
    </font>
    <font>
      <b/>
      <sz val="12"/>
      <color theme="0"/>
      <name val="Century Gothic"/>
      <family val="2"/>
    </font>
    <font>
      <b/>
      <sz val="11"/>
      <color theme="0"/>
      <name val="Century Gothic"/>
      <family val="2"/>
    </font>
    <font>
      <b/>
      <i/>
      <sz val="11"/>
      <color rgb="FF000C2E"/>
      <name val="Century Gothic"/>
      <family val="2"/>
    </font>
    <font>
      <b/>
      <sz val="28"/>
      <color rgb="FF000C2E"/>
      <name val="Century Gothic"/>
      <family val="2"/>
    </font>
    <font>
      <b/>
      <sz val="10"/>
      <color theme="0"/>
      <name val="Century Gothic"/>
      <family val="2"/>
    </font>
    <font>
      <b/>
      <sz val="11"/>
      <color theme="0" tint="-4.9989318521683403E-2"/>
      <name val="Century Gothic"/>
      <family val="2"/>
    </font>
    <font>
      <b/>
      <sz val="12"/>
      <color theme="0" tint="-4.9989318521683403E-2"/>
      <name val="Century Gothic"/>
      <family val="2"/>
    </font>
    <font>
      <sz val="11"/>
      <name val="Century Gothic"/>
      <family val="2"/>
    </font>
    <font>
      <sz val="12"/>
      <color theme="0"/>
      <name val="Century Gothic"/>
      <family val="2"/>
    </font>
    <font>
      <sz val="10"/>
      <name val="Century Gothic"/>
      <family val="2"/>
    </font>
    <font>
      <b/>
      <sz val="16"/>
      <color theme="1"/>
      <name val="Century Gothic"/>
      <family val="2"/>
    </font>
    <font>
      <b/>
      <sz val="12"/>
      <color theme="1"/>
      <name val="Century Gothic"/>
      <family val="2"/>
    </font>
    <font>
      <sz val="10"/>
      <color rgb="FFFF0000"/>
      <name val="Century Gothic"/>
      <family val="2"/>
    </font>
    <font>
      <sz val="12"/>
      <color theme="1"/>
      <name val="Century Gothic"/>
      <family val="2"/>
    </font>
    <font>
      <b/>
      <sz val="22"/>
      <color theme="1"/>
      <name val="Century Gothic"/>
      <family val="2"/>
    </font>
    <font>
      <b/>
      <sz val="28"/>
      <color theme="1"/>
      <name val="Century Gothic"/>
      <family val="2"/>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7" tint="0.59999389629810485"/>
        <bgColor indexed="64"/>
      </patternFill>
    </fill>
    <fill>
      <patternFill patternType="solid">
        <fgColor rgb="FF000C2E"/>
        <bgColor indexed="64"/>
      </patternFill>
    </fill>
    <fill>
      <patternFill patternType="solid">
        <fgColor rgb="FFB4C6E7"/>
        <bgColor indexed="64"/>
      </patternFill>
    </fill>
    <fill>
      <patternFill patternType="solid">
        <fgColor rgb="FFFFEDB8"/>
        <bgColor indexed="64"/>
      </patternFill>
    </fill>
    <fill>
      <patternFill patternType="solid">
        <fgColor rgb="FFDDEBD2"/>
        <bgColor indexed="64"/>
      </patternFill>
    </fill>
    <fill>
      <patternFill patternType="solid">
        <fgColor theme="4" tint="0.79998168889431442"/>
        <bgColor indexed="64"/>
      </patternFill>
    </fill>
    <fill>
      <patternFill patternType="solid">
        <fgColor rgb="FFEFF6FB"/>
        <bgColor indexed="64"/>
      </patternFill>
    </fill>
    <fill>
      <patternFill patternType="solid">
        <fgColor rgb="FFFFF6DD"/>
        <bgColor indexed="64"/>
      </patternFill>
    </fill>
    <fill>
      <patternFill patternType="solid">
        <fgColor rgb="FFF1F7ED"/>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5" tint="0.79998168889431442"/>
        <bgColor indexed="64"/>
      </patternFill>
    </fill>
  </fills>
  <borders count="49">
    <border>
      <left/>
      <right/>
      <top/>
      <bottom/>
      <diagonal/>
    </border>
    <border>
      <left/>
      <right style="thin">
        <color indexed="64"/>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double">
        <color indexed="64"/>
      </bottom>
      <diagonal/>
    </border>
    <border>
      <left/>
      <right style="thin">
        <color theme="2" tint="-0.249977111117893"/>
      </right>
      <top style="thin">
        <color theme="2" tint="-0.249977111117893"/>
      </top>
      <bottom/>
      <diagonal/>
    </border>
    <border>
      <left style="thin">
        <color theme="2" tint="-0.249977111117893"/>
      </left>
      <right/>
      <top/>
      <bottom style="thin">
        <color theme="2" tint="-0.249977111117893"/>
      </bottom>
      <diagonal/>
    </border>
    <border>
      <left/>
      <right style="thin">
        <color theme="2" tint="-0.249977111117893"/>
      </right>
      <top/>
      <bottom/>
      <diagonal/>
    </border>
    <border>
      <left style="thin">
        <color theme="2" tint="-0.249977111117893"/>
      </left>
      <right/>
      <top style="thin">
        <color theme="2" tint="-0.249977111117893"/>
      </top>
      <bottom/>
      <diagonal/>
    </border>
    <border>
      <left style="thin">
        <color theme="2" tint="-0.249977111117893"/>
      </left>
      <right/>
      <top/>
      <bottom/>
      <diagonal/>
    </border>
    <border>
      <left/>
      <right style="thin">
        <color theme="2" tint="-0.249977111117893"/>
      </right>
      <top/>
      <bottom style="thin">
        <color theme="2" tint="-0.249977111117893"/>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medium">
        <color theme="1"/>
      </left>
      <right/>
      <top/>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thin">
        <color theme="1"/>
      </left>
      <right style="thin">
        <color theme="1"/>
      </right>
      <top/>
      <bottom style="thin">
        <color theme="1"/>
      </bottom>
      <diagonal/>
    </border>
    <border>
      <left/>
      <right/>
      <top style="thin">
        <color indexed="64"/>
      </top>
      <bottom style="thin">
        <color indexed="64"/>
      </bottom>
      <diagonal/>
    </border>
    <border>
      <left/>
      <right style="thin">
        <color theme="1"/>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8">
    <xf numFmtId="0" fontId="0" fillId="0" borderId="0"/>
    <xf numFmtId="9" fontId="1" fillId="0" borderId="0" applyFont="0" applyFill="0" applyBorder="0" applyAlignment="0" applyProtection="0"/>
    <xf numFmtId="0" fontId="5" fillId="0" borderId="0" applyNumberFormat="0" applyFill="0" applyBorder="0" applyAlignment="0" applyProtection="0"/>
    <xf numFmtId="44" fontId="1" fillId="0" borderId="0" applyFont="0" applyFill="0" applyBorder="0" applyAlignment="0" applyProtection="0"/>
    <xf numFmtId="0" fontId="10" fillId="0" borderId="0"/>
    <xf numFmtId="0" fontId="11" fillId="0" borderId="0"/>
    <xf numFmtId="0" fontId="11" fillId="0" borderId="0"/>
    <xf numFmtId="164" fontId="9" fillId="0" borderId="0" applyFont="0" applyFill="0" applyBorder="0" applyAlignment="0" applyProtection="0"/>
  </cellStyleXfs>
  <cellXfs count="648">
    <xf numFmtId="0" fontId="0" fillId="0" borderId="0" xfId="0"/>
    <xf numFmtId="0" fontId="3" fillId="3" borderId="39" xfId="0" applyFont="1" applyFill="1" applyBorder="1" applyAlignment="1">
      <alignment vertical="top" wrapText="1"/>
    </xf>
    <xf numFmtId="0" fontId="13" fillId="2" borderId="0" xfId="0" applyFont="1" applyFill="1"/>
    <xf numFmtId="0" fontId="19" fillId="6" borderId="35" xfId="0" applyFont="1" applyFill="1" applyBorder="1" applyAlignment="1">
      <alignment horizontal="center" vertical="center" wrapText="1"/>
    </xf>
    <xf numFmtId="0" fontId="19" fillId="5" borderId="35" xfId="0" applyFont="1" applyFill="1" applyBorder="1" applyAlignment="1">
      <alignment horizontal="center" vertical="center"/>
    </xf>
    <xf numFmtId="0" fontId="19" fillId="2" borderId="0" xfId="0" applyFont="1" applyFill="1" applyAlignment="1">
      <alignment horizontal="center" vertical="center"/>
    </xf>
    <xf numFmtId="0" fontId="20" fillId="6" borderId="35" xfId="0" applyFont="1" applyFill="1" applyBorder="1" applyAlignment="1">
      <alignment horizontal="center" vertical="center" wrapText="1"/>
    </xf>
    <xf numFmtId="0" fontId="20" fillId="5" borderId="35" xfId="0" applyFont="1" applyFill="1" applyBorder="1" applyAlignment="1">
      <alignment horizontal="center" vertical="center"/>
    </xf>
    <xf numFmtId="0" fontId="21" fillId="2" borderId="0" xfId="0" applyFont="1" applyFill="1" applyAlignment="1">
      <alignment horizontal="center" vertical="center"/>
    </xf>
    <xf numFmtId="0" fontId="22" fillId="2" borderId="0" xfId="0" applyFont="1" applyFill="1" applyAlignment="1">
      <alignment horizontal="center" vertical="center"/>
    </xf>
    <xf numFmtId="0" fontId="13" fillId="2" borderId="0" xfId="0" applyFont="1" applyFill="1" applyAlignment="1">
      <alignment horizontal="center" vertical="center"/>
    </xf>
    <xf numFmtId="0" fontId="13" fillId="2" borderId="0" xfId="0" applyFont="1" applyFill="1" applyAlignment="1">
      <alignment horizontal="center" vertical="center" wrapText="1"/>
    </xf>
    <xf numFmtId="0" fontId="13" fillId="2" borderId="0" xfId="0" applyFont="1" applyFill="1" applyAlignment="1">
      <alignment wrapText="1"/>
    </xf>
    <xf numFmtId="0" fontId="13" fillId="2" borderId="0" xfId="0" applyFont="1" applyFill="1" applyAlignment="1">
      <alignment horizontal="left" vertical="center" wrapText="1"/>
    </xf>
    <xf numFmtId="0" fontId="15" fillId="2" borderId="0" xfId="0" applyFont="1" applyFill="1" applyAlignment="1">
      <alignment vertical="center" textRotation="90"/>
    </xf>
    <xf numFmtId="0" fontId="13" fillId="2" borderId="0" xfId="0" applyFont="1" applyFill="1" applyAlignment="1">
      <alignment horizontal="center"/>
    </xf>
    <xf numFmtId="0" fontId="17" fillId="3" borderId="3" xfId="0" applyFont="1" applyFill="1" applyBorder="1" applyAlignment="1">
      <alignment horizontal="center" vertical="center"/>
    </xf>
    <xf numFmtId="0" fontId="17" fillId="3" borderId="3" xfId="0" applyFont="1" applyFill="1" applyBorder="1" applyAlignment="1">
      <alignment horizontal="center" vertical="center" wrapText="1"/>
    </xf>
    <xf numFmtId="0" fontId="17" fillId="3" borderId="4" xfId="0" applyFont="1" applyFill="1" applyBorder="1" applyAlignment="1">
      <alignment horizontal="center" vertical="center" wrapText="1"/>
    </xf>
    <xf numFmtId="0" fontId="17" fillId="3" borderId="5" xfId="0" applyFont="1" applyFill="1" applyBorder="1" applyAlignment="1">
      <alignment horizontal="center" vertical="center" wrapText="1"/>
    </xf>
    <xf numFmtId="0" fontId="18" fillId="3" borderId="36" xfId="0" applyFont="1" applyFill="1" applyBorder="1" applyAlignment="1">
      <alignment horizontal="center" vertical="center"/>
    </xf>
    <xf numFmtId="0" fontId="19" fillId="2" borderId="36" xfId="0" applyFont="1" applyFill="1" applyBorder="1" applyAlignment="1">
      <alignment horizontal="center" vertical="center" wrapText="1"/>
    </xf>
    <xf numFmtId="0" fontId="19" fillId="2" borderId="37" xfId="0" applyFont="1" applyFill="1" applyBorder="1" applyAlignment="1">
      <alignment horizontal="center" vertical="center" wrapText="1"/>
    </xf>
    <xf numFmtId="1" fontId="19" fillId="2" borderId="37" xfId="0" applyNumberFormat="1" applyFont="1" applyFill="1" applyBorder="1" applyAlignment="1">
      <alignment horizontal="center" vertical="center"/>
    </xf>
    <xf numFmtId="2" fontId="19" fillId="2" borderId="36" xfId="0" applyNumberFormat="1" applyFont="1" applyFill="1" applyBorder="1" applyAlignment="1">
      <alignment horizontal="center" vertical="center"/>
    </xf>
    <xf numFmtId="0" fontId="13" fillId="2" borderId="7" xfId="0" applyFont="1" applyFill="1" applyBorder="1"/>
    <xf numFmtId="0" fontId="13" fillId="2" borderId="8" xfId="0" applyFont="1" applyFill="1" applyBorder="1"/>
    <xf numFmtId="1" fontId="13" fillId="2" borderId="8" xfId="0" applyNumberFormat="1" applyFont="1" applyFill="1" applyBorder="1" applyAlignment="1">
      <alignment horizontal="center"/>
    </xf>
    <xf numFmtId="1" fontId="13" fillId="2" borderId="7" xfId="0" applyNumberFormat="1" applyFont="1" applyFill="1" applyBorder="1" applyAlignment="1">
      <alignment horizontal="center"/>
    </xf>
    <xf numFmtId="1" fontId="13" fillId="2" borderId="0" xfId="0" applyNumberFormat="1" applyFont="1" applyFill="1" applyAlignment="1">
      <alignment wrapText="1"/>
    </xf>
    <xf numFmtId="1" fontId="22" fillId="2" borderId="0" xfId="0" applyNumberFormat="1" applyFont="1" applyFill="1" applyAlignment="1">
      <alignment wrapText="1"/>
    </xf>
    <xf numFmtId="1" fontId="13" fillId="2" borderId="0" xfId="0" applyNumberFormat="1" applyFont="1" applyFill="1"/>
    <xf numFmtId="0" fontId="19" fillId="2" borderId="25" xfId="0" applyFont="1" applyFill="1" applyBorder="1"/>
    <xf numFmtId="0" fontId="19" fillId="2" borderId="26" xfId="0" applyFont="1" applyFill="1" applyBorder="1"/>
    <xf numFmtId="0" fontId="19" fillId="2" borderId="27" xfId="0" applyFont="1" applyFill="1" applyBorder="1"/>
    <xf numFmtId="0" fontId="26" fillId="2" borderId="24" xfId="0" applyFont="1" applyFill="1" applyBorder="1" applyAlignment="1">
      <alignment vertical="center"/>
    </xf>
    <xf numFmtId="0" fontId="26" fillId="2" borderId="0" xfId="0" applyFont="1" applyFill="1" applyAlignment="1">
      <alignment horizontal="center" vertical="center"/>
    </xf>
    <xf numFmtId="0" fontId="26" fillId="2" borderId="28" xfId="0" applyFont="1" applyFill="1" applyBorder="1" applyAlignment="1">
      <alignment vertical="center"/>
    </xf>
    <xf numFmtId="0" fontId="26" fillId="2" borderId="42" xfId="0" applyFont="1" applyFill="1" applyBorder="1" applyAlignment="1">
      <alignment vertical="center"/>
    </xf>
    <xf numFmtId="0" fontId="19" fillId="2" borderId="0" xfId="0" applyFont="1" applyFill="1"/>
    <xf numFmtId="0" fontId="19" fillId="2" borderId="41" xfId="0" applyFont="1" applyFill="1" applyBorder="1"/>
    <xf numFmtId="0" fontId="19" fillId="2" borderId="42" xfId="0" applyFont="1" applyFill="1" applyBorder="1"/>
    <xf numFmtId="0" fontId="13" fillId="2" borderId="41" xfId="0" applyFont="1" applyFill="1" applyBorder="1"/>
    <xf numFmtId="0" fontId="13" fillId="2" borderId="42" xfId="0" applyFont="1" applyFill="1" applyBorder="1"/>
    <xf numFmtId="0" fontId="19" fillId="2" borderId="0" xfId="0" applyFont="1" applyFill="1" applyAlignment="1">
      <alignment horizontal="center"/>
    </xf>
    <xf numFmtId="165" fontId="26" fillId="2" borderId="0" xfId="0" applyNumberFormat="1" applyFont="1" applyFill="1" applyAlignment="1">
      <alignment horizontal="center"/>
    </xf>
    <xf numFmtId="0" fontId="19" fillId="2" borderId="28" xfId="0" applyFont="1" applyFill="1" applyBorder="1"/>
    <xf numFmtId="0" fontId="19" fillId="2" borderId="24" xfId="0" applyFont="1" applyFill="1" applyBorder="1"/>
    <xf numFmtId="0" fontId="19" fillId="2" borderId="24" xfId="0" applyFont="1" applyFill="1" applyBorder="1" applyAlignment="1">
      <alignment horizontal="center" vertical="center"/>
    </xf>
    <xf numFmtId="0" fontId="19" fillId="2" borderId="28" xfId="0" applyFont="1" applyFill="1" applyBorder="1" applyAlignment="1">
      <alignment horizontal="center" vertical="center"/>
    </xf>
    <xf numFmtId="0" fontId="13" fillId="2" borderId="24" xfId="0" applyFont="1" applyFill="1" applyBorder="1"/>
    <xf numFmtId="0" fontId="13" fillId="2" borderId="28" xfId="0" applyFont="1" applyFill="1" applyBorder="1"/>
    <xf numFmtId="2" fontId="24" fillId="2" borderId="24" xfId="0" applyNumberFormat="1" applyFont="1" applyFill="1" applyBorder="1" applyAlignment="1">
      <alignment horizontal="center" vertical="center"/>
    </xf>
    <xf numFmtId="2" fontId="24" fillId="2" borderId="0" xfId="0" applyNumberFormat="1" applyFont="1" applyFill="1" applyAlignment="1">
      <alignment horizontal="center" vertical="center"/>
    </xf>
    <xf numFmtId="2" fontId="24" fillId="2" borderId="28" xfId="0" applyNumberFormat="1" applyFont="1" applyFill="1" applyBorder="1" applyAlignment="1">
      <alignment horizontal="center" vertical="center"/>
    </xf>
    <xf numFmtId="0" fontId="19" fillId="2" borderId="24" xfId="0" applyFont="1" applyFill="1" applyBorder="1" applyAlignment="1">
      <alignment horizontal="center"/>
    </xf>
    <xf numFmtId="0" fontId="19" fillId="2" borderId="28" xfId="0" applyFont="1" applyFill="1" applyBorder="1" applyAlignment="1">
      <alignment horizontal="center"/>
    </xf>
    <xf numFmtId="0" fontId="13" fillId="2" borderId="29" xfId="0" applyFont="1" applyFill="1" applyBorder="1"/>
    <xf numFmtId="0" fontId="13" fillId="2" borderId="30" xfId="0" applyFont="1" applyFill="1" applyBorder="1"/>
    <xf numFmtId="0" fontId="13" fillId="2" borderId="31" xfId="0" applyFont="1" applyFill="1" applyBorder="1"/>
    <xf numFmtId="0" fontId="17" fillId="3" borderId="35" xfId="0" applyFont="1" applyFill="1" applyBorder="1" applyAlignment="1">
      <alignment horizontal="center" vertical="center"/>
    </xf>
    <xf numFmtId="0" fontId="17" fillId="6" borderId="35" xfId="0" applyFont="1" applyFill="1" applyBorder="1" applyAlignment="1">
      <alignment horizontal="center" vertical="center"/>
    </xf>
    <xf numFmtId="0" fontId="17" fillId="5" borderId="35" xfId="0" applyFont="1" applyFill="1" applyBorder="1" applyAlignment="1">
      <alignment horizontal="center" vertical="center"/>
    </xf>
    <xf numFmtId="0" fontId="17" fillId="2" borderId="0" xfId="0" applyFont="1" applyFill="1" applyAlignment="1">
      <alignment horizontal="center" vertical="center" wrapText="1"/>
    </xf>
    <xf numFmtId="0" fontId="19" fillId="6" borderId="0" xfId="0" applyFont="1" applyFill="1" applyAlignment="1">
      <alignment horizontal="center" vertical="center" wrapText="1"/>
    </xf>
    <xf numFmtId="0" fontId="13" fillId="2" borderId="0" xfId="0" applyFont="1" applyFill="1" applyAlignment="1">
      <alignment horizontal="left" wrapText="1"/>
    </xf>
    <xf numFmtId="0" fontId="17" fillId="2" borderId="0" xfId="0" applyFont="1" applyFill="1"/>
    <xf numFmtId="0" fontId="17" fillId="2" borderId="0" xfId="0" applyFont="1" applyFill="1" applyAlignment="1">
      <alignment vertical="top" wrapText="1"/>
    </xf>
    <xf numFmtId="0" fontId="17" fillId="3" borderId="4" xfId="0" applyFont="1" applyFill="1" applyBorder="1" applyAlignment="1">
      <alignment horizontal="center" vertical="center"/>
    </xf>
    <xf numFmtId="0" fontId="13" fillId="2" borderId="36" xfId="0" applyFont="1" applyFill="1" applyBorder="1"/>
    <xf numFmtId="0" fontId="13" fillId="2" borderId="33" xfId="0" applyFont="1" applyFill="1" applyBorder="1"/>
    <xf numFmtId="0" fontId="13" fillId="2" borderId="37" xfId="0" applyFont="1" applyFill="1" applyBorder="1"/>
    <xf numFmtId="0" fontId="19" fillId="2" borderId="33" xfId="0" applyFont="1" applyFill="1" applyBorder="1" applyAlignment="1">
      <alignment horizontal="center" vertical="center"/>
    </xf>
    <xf numFmtId="165" fontId="19" fillId="2" borderId="37" xfId="0" applyNumberFormat="1" applyFont="1" applyFill="1" applyBorder="1" applyAlignment="1">
      <alignment horizontal="center" vertical="center"/>
    </xf>
    <xf numFmtId="0" fontId="19" fillId="2" borderId="36" xfId="0" applyFont="1" applyFill="1" applyBorder="1" applyAlignment="1">
      <alignment horizontal="center" vertical="center"/>
    </xf>
    <xf numFmtId="0" fontId="19" fillId="2" borderId="37" xfId="0" applyFont="1" applyFill="1" applyBorder="1" applyAlignment="1">
      <alignment horizontal="center" vertical="center"/>
    </xf>
    <xf numFmtId="167" fontId="19" fillId="2" borderId="33" xfId="3" applyNumberFormat="1" applyFont="1" applyFill="1" applyBorder="1" applyAlignment="1">
      <alignment horizontal="center" vertical="center"/>
    </xf>
    <xf numFmtId="0" fontId="13" fillId="2" borderId="36" xfId="0" applyFont="1" applyFill="1" applyBorder="1" applyAlignment="1">
      <alignment vertical="center"/>
    </xf>
    <xf numFmtId="0" fontId="13" fillId="2" borderId="33" xfId="0" applyFont="1" applyFill="1" applyBorder="1" applyAlignment="1">
      <alignment vertical="center"/>
    </xf>
    <xf numFmtId="0" fontId="13" fillId="2" borderId="37" xfId="0" applyFont="1" applyFill="1" applyBorder="1" applyAlignment="1">
      <alignment vertical="center"/>
    </xf>
    <xf numFmtId="0" fontId="19" fillId="2" borderId="36" xfId="1" applyNumberFormat="1" applyFont="1" applyFill="1" applyBorder="1" applyAlignment="1">
      <alignment horizontal="center" vertical="center"/>
    </xf>
    <xf numFmtId="0" fontId="13" fillId="2" borderId="32" xfId="0" applyFont="1" applyFill="1" applyBorder="1"/>
    <xf numFmtId="0" fontId="13" fillId="2" borderId="22" xfId="0" applyFont="1" applyFill="1" applyBorder="1"/>
    <xf numFmtId="1" fontId="13" fillId="2" borderId="2" xfId="0" applyNumberFormat="1" applyFont="1" applyFill="1" applyBorder="1" applyAlignment="1">
      <alignment horizontal="center"/>
    </xf>
    <xf numFmtId="1" fontId="13" fillId="2" borderId="1" xfId="0" applyNumberFormat="1" applyFont="1" applyFill="1" applyBorder="1" applyAlignment="1">
      <alignment horizontal="center"/>
    </xf>
    <xf numFmtId="1" fontId="13" fillId="2" borderId="17" xfId="0" applyNumberFormat="1" applyFont="1" applyFill="1" applyBorder="1" applyAlignment="1">
      <alignment wrapText="1"/>
    </xf>
    <xf numFmtId="0" fontId="26" fillId="2" borderId="0" xfId="0" applyFont="1" applyFill="1" applyAlignment="1">
      <alignment horizontal="center"/>
    </xf>
    <xf numFmtId="2" fontId="13" fillId="2" borderId="0" xfId="0" applyNumberFormat="1" applyFont="1" applyFill="1"/>
    <xf numFmtId="0" fontId="13" fillId="2" borderId="0" xfId="0" applyFont="1" applyFill="1" applyAlignment="1">
      <alignment vertical="top" wrapText="1"/>
    </xf>
    <xf numFmtId="0" fontId="13" fillId="0" borderId="0" xfId="0" applyFont="1" applyAlignment="1">
      <alignment wrapText="1"/>
    </xf>
    <xf numFmtId="0" fontId="13" fillId="4" borderId="0" xfId="0" applyFont="1" applyFill="1" applyAlignment="1">
      <alignment vertical="top" wrapText="1"/>
    </xf>
    <xf numFmtId="0" fontId="13" fillId="4" borderId="0" xfId="0" applyFont="1" applyFill="1" applyAlignment="1">
      <alignment wrapText="1"/>
    </xf>
    <xf numFmtId="0" fontId="29" fillId="3" borderId="3" xfId="0" applyFont="1" applyFill="1" applyBorder="1" applyAlignment="1">
      <alignment vertical="top" wrapText="1"/>
    </xf>
    <xf numFmtId="0" fontId="13" fillId="2" borderId="4" xfId="0" applyFont="1" applyFill="1" applyBorder="1" applyAlignment="1">
      <alignment vertical="top" wrapText="1"/>
    </xf>
    <xf numFmtId="0" fontId="13" fillId="3" borderId="5" xfId="0" applyFont="1" applyFill="1" applyBorder="1" applyAlignment="1">
      <alignment vertical="top" wrapText="1"/>
    </xf>
    <xf numFmtId="0" fontId="13" fillId="3" borderId="6" xfId="0" applyFont="1" applyFill="1" applyBorder="1" applyAlignment="1">
      <alignment vertical="top" wrapText="1"/>
    </xf>
    <xf numFmtId="0" fontId="13" fillId="3" borderId="1" xfId="0" applyFont="1" applyFill="1" applyBorder="1" applyAlignment="1">
      <alignment vertical="top" wrapText="1"/>
    </xf>
    <xf numFmtId="0" fontId="13" fillId="3" borderId="7" xfId="0" applyFont="1" applyFill="1" applyBorder="1" applyAlignment="1">
      <alignment vertical="top" wrapText="1"/>
    </xf>
    <xf numFmtId="0" fontId="13" fillId="2" borderId="2" xfId="0" applyFont="1" applyFill="1" applyBorder="1" applyAlignment="1">
      <alignment vertical="top" wrapText="1"/>
    </xf>
    <xf numFmtId="0" fontId="13" fillId="3" borderId="8" xfId="0" applyFont="1" applyFill="1" applyBorder="1" applyAlignment="1">
      <alignment vertical="top" wrapText="1"/>
    </xf>
    <xf numFmtId="0" fontId="21" fillId="8" borderId="0" xfId="0" applyFont="1" applyFill="1" applyAlignment="1">
      <alignment vertical="top"/>
    </xf>
    <xf numFmtId="0" fontId="13" fillId="8" borderId="0" xfId="0" applyFont="1" applyFill="1" applyAlignment="1">
      <alignment vertical="top" wrapText="1"/>
    </xf>
    <xf numFmtId="0" fontId="13" fillId="8" borderId="0" xfId="0" applyFont="1" applyFill="1" applyAlignment="1">
      <alignment wrapText="1"/>
    </xf>
    <xf numFmtId="0" fontId="25" fillId="2" borderId="3" xfId="0" applyFont="1" applyFill="1" applyBorder="1" applyAlignment="1">
      <alignment vertical="top" wrapText="1"/>
    </xf>
    <xf numFmtId="0" fontId="13" fillId="2" borderId="6" xfId="0" applyFont="1" applyFill="1" applyBorder="1" applyAlignment="1">
      <alignment vertical="top" wrapText="1"/>
    </xf>
    <xf numFmtId="0" fontId="13" fillId="2" borderId="6" xfId="0" applyFont="1" applyFill="1" applyBorder="1" applyAlignment="1">
      <alignment horizontal="left" vertical="top" wrapText="1"/>
    </xf>
    <xf numFmtId="0" fontId="13" fillId="3" borderId="1" xfId="0" applyFont="1" applyFill="1" applyBorder="1" applyAlignment="1">
      <alignment horizontal="center" vertical="top" wrapText="1"/>
    </xf>
    <xf numFmtId="0" fontId="13" fillId="2" borderId="6" xfId="0" applyFont="1" applyFill="1" applyBorder="1" applyAlignment="1">
      <alignment horizontal="center" vertical="top" wrapText="1"/>
    </xf>
    <xf numFmtId="0" fontId="13" fillId="3" borderId="1" xfId="0" applyFont="1" applyFill="1" applyBorder="1" applyAlignment="1">
      <alignment horizontal="left" vertical="top" wrapText="1"/>
    </xf>
    <xf numFmtId="0" fontId="13" fillId="2" borderId="7" xfId="0" applyFont="1" applyFill="1" applyBorder="1" applyAlignment="1">
      <alignment vertical="top" wrapText="1"/>
    </xf>
    <xf numFmtId="0" fontId="24" fillId="2" borderId="3" xfId="0" applyFont="1" applyFill="1" applyBorder="1" applyAlignment="1">
      <alignment vertical="top" wrapText="1"/>
    </xf>
    <xf numFmtId="0" fontId="25" fillId="3" borderId="1" xfId="0" applyFont="1" applyFill="1" applyBorder="1" applyAlignment="1">
      <alignment vertical="top" wrapText="1"/>
    </xf>
    <xf numFmtId="0" fontId="13" fillId="0" borderId="6" xfId="0" applyFont="1" applyBorder="1" applyAlignment="1">
      <alignment vertical="top" wrapText="1"/>
    </xf>
    <xf numFmtId="0" fontId="25" fillId="3" borderId="1" xfId="0" applyFont="1" applyFill="1" applyBorder="1" applyAlignment="1">
      <alignment horizontal="left" vertical="top" wrapText="1"/>
    </xf>
    <xf numFmtId="0" fontId="13" fillId="2" borderId="0" xfId="0" applyFont="1" applyFill="1" applyAlignment="1">
      <alignment horizontal="center" wrapText="1"/>
    </xf>
    <xf numFmtId="0" fontId="13" fillId="5" borderId="0" xfId="0" applyFont="1" applyFill="1" applyAlignment="1">
      <alignment vertical="top" wrapText="1"/>
    </xf>
    <xf numFmtId="0" fontId="13" fillId="5" borderId="0" xfId="0" applyFont="1" applyFill="1" applyAlignment="1">
      <alignment wrapText="1"/>
    </xf>
    <xf numFmtId="0" fontId="13" fillId="3" borderId="3" xfId="0" applyFont="1" applyFill="1" applyBorder="1" applyAlignment="1">
      <alignment vertical="top" wrapText="1"/>
    </xf>
    <xf numFmtId="0" fontId="13" fillId="3" borderId="4" xfId="0" applyFont="1" applyFill="1" applyBorder="1" applyAlignment="1">
      <alignment wrapText="1"/>
    </xf>
    <xf numFmtId="0" fontId="13" fillId="3" borderId="5" xfId="0" applyFont="1" applyFill="1" applyBorder="1" applyAlignment="1">
      <alignment wrapText="1"/>
    </xf>
    <xf numFmtId="0" fontId="13" fillId="3" borderId="0" xfId="0" applyFont="1" applyFill="1" applyAlignment="1">
      <alignment vertical="top" wrapText="1"/>
    </xf>
    <xf numFmtId="0" fontId="13" fillId="3" borderId="0" xfId="0" applyFont="1" applyFill="1" applyAlignment="1">
      <alignment wrapText="1"/>
    </xf>
    <xf numFmtId="0" fontId="13" fillId="3" borderId="1" xfId="0" applyFont="1" applyFill="1" applyBorder="1" applyAlignment="1">
      <alignment wrapText="1"/>
    </xf>
    <xf numFmtId="0" fontId="13" fillId="3" borderId="2" xfId="0" applyFont="1" applyFill="1" applyBorder="1" applyAlignment="1">
      <alignment vertical="top" wrapText="1"/>
    </xf>
    <xf numFmtId="0" fontId="13" fillId="3" borderId="2" xfId="0" applyFont="1" applyFill="1" applyBorder="1" applyAlignment="1">
      <alignment wrapText="1"/>
    </xf>
    <xf numFmtId="0" fontId="13" fillId="3" borderId="8" xfId="0" applyFont="1" applyFill="1" applyBorder="1" applyAlignment="1">
      <alignment wrapText="1"/>
    </xf>
    <xf numFmtId="0" fontId="13" fillId="2" borderId="33" xfId="0" applyFont="1" applyFill="1" applyBorder="1" applyAlignment="1">
      <alignment wrapText="1"/>
    </xf>
    <xf numFmtId="0" fontId="13" fillId="2" borderId="3" xfId="0" applyFont="1" applyFill="1" applyBorder="1" applyAlignment="1">
      <alignment vertical="top" wrapText="1"/>
    </xf>
    <xf numFmtId="0" fontId="13" fillId="2" borderId="4" xfId="0" applyFont="1" applyFill="1" applyBorder="1" applyAlignment="1">
      <alignment wrapText="1"/>
    </xf>
    <xf numFmtId="0" fontId="13" fillId="2" borderId="5" xfId="0" applyFont="1" applyFill="1" applyBorder="1" applyAlignment="1">
      <alignment wrapText="1"/>
    </xf>
    <xf numFmtId="0" fontId="13" fillId="2" borderId="1" xfId="0" applyFont="1" applyFill="1" applyBorder="1" applyAlignment="1">
      <alignment wrapText="1"/>
    </xf>
    <xf numFmtId="0" fontId="13" fillId="2" borderId="2" xfId="0" applyFont="1" applyFill="1" applyBorder="1" applyAlignment="1">
      <alignment wrapText="1"/>
    </xf>
    <xf numFmtId="0" fontId="13" fillId="2" borderId="8" xfId="0" applyFont="1" applyFill="1" applyBorder="1" applyAlignment="1">
      <alignment wrapText="1"/>
    </xf>
    <xf numFmtId="0" fontId="13" fillId="2" borderId="33" xfId="0" applyFont="1" applyFill="1" applyBorder="1" applyAlignment="1">
      <alignment vertical="top" wrapText="1"/>
    </xf>
    <xf numFmtId="0" fontId="13" fillId="2" borderId="37" xfId="0" applyFont="1" applyFill="1" applyBorder="1" applyAlignment="1">
      <alignment wrapText="1"/>
    </xf>
    <xf numFmtId="0" fontId="13" fillId="3" borderId="6" xfId="0" applyFont="1" applyFill="1" applyBorder="1" applyAlignment="1">
      <alignment wrapText="1"/>
    </xf>
    <xf numFmtId="0" fontId="13" fillId="3" borderId="0" xfId="0" applyFont="1" applyFill="1" applyAlignment="1">
      <alignment horizontal="left" wrapText="1"/>
    </xf>
    <xf numFmtId="0" fontId="13" fillId="2" borderId="0" xfId="0" applyFont="1" applyFill="1" applyAlignment="1">
      <alignment horizontal="left" vertical="top" wrapText="1"/>
    </xf>
    <xf numFmtId="0" fontId="13" fillId="3" borderId="7" xfId="0" applyFont="1" applyFill="1" applyBorder="1" applyAlignment="1">
      <alignment wrapText="1"/>
    </xf>
    <xf numFmtId="9" fontId="13" fillId="2" borderId="0" xfId="1" applyFont="1" applyFill="1" applyAlignment="1">
      <alignment vertical="top" wrapText="1"/>
    </xf>
    <xf numFmtId="9" fontId="13" fillId="2" borderId="0" xfId="1" applyFont="1" applyFill="1" applyAlignment="1">
      <alignment wrapText="1"/>
    </xf>
    <xf numFmtId="0" fontId="24" fillId="2" borderId="0" xfId="0" applyFont="1" applyFill="1" applyAlignment="1">
      <alignment wrapText="1"/>
    </xf>
    <xf numFmtId="0" fontId="13" fillId="3" borderId="39" xfId="0" applyFont="1" applyFill="1" applyBorder="1" applyAlignment="1">
      <alignment vertical="top" wrapText="1"/>
    </xf>
    <xf numFmtId="0" fontId="13" fillId="3" borderId="39" xfId="0" applyFont="1" applyFill="1" applyBorder="1" applyAlignment="1">
      <alignment wrapText="1"/>
    </xf>
    <xf numFmtId="9" fontId="13" fillId="3" borderId="39" xfId="1" applyFont="1" applyFill="1" applyBorder="1" applyAlignment="1">
      <alignment vertical="top" wrapText="1"/>
    </xf>
    <xf numFmtId="0" fontId="13" fillId="2" borderId="39" xfId="0" applyFont="1" applyFill="1" applyBorder="1" applyAlignment="1">
      <alignment vertical="top" wrapText="1"/>
    </xf>
    <xf numFmtId="0" fontId="13" fillId="2" borderId="39" xfId="0" applyFont="1" applyFill="1" applyBorder="1" applyAlignment="1">
      <alignment wrapText="1"/>
    </xf>
    <xf numFmtId="9" fontId="13" fillId="2" borderId="39" xfId="1" applyFont="1" applyFill="1" applyBorder="1" applyAlignment="1">
      <alignment vertical="top" wrapText="1"/>
    </xf>
    <xf numFmtId="0" fontId="13" fillId="2" borderId="40" xfId="0" applyFont="1" applyFill="1" applyBorder="1" applyAlignment="1">
      <alignment vertical="top" wrapText="1"/>
    </xf>
    <xf numFmtId="0" fontId="13" fillId="2" borderId="40" xfId="0" applyFont="1" applyFill="1" applyBorder="1" applyAlignment="1">
      <alignment wrapText="1"/>
    </xf>
    <xf numFmtId="0" fontId="34" fillId="7" borderId="0" xfId="0" applyFont="1" applyFill="1" applyAlignment="1">
      <alignment vertical="top" wrapText="1"/>
    </xf>
    <xf numFmtId="0" fontId="13" fillId="7" borderId="0" xfId="0" applyFont="1" applyFill="1" applyAlignment="1">
      <alignment vertical="top" wrapText="1"/>
    </xf>
    <xf numFmtId="0" fontId="13" fillId="7" borderId="0" xfId="0" applyFont="1" applyFill="1" applyAlignment="1">
      <alignment wrapText="1"/>
    </xf>
    <xf numFmtId="0" fontId="13" fillId="0" borderId="0" xfId="0" applyFont="1" applyAlignment="1">
      <alignment vertical="top" wrapText="1"/>
    </xf>
    <xf numFmtId="44" fontId="13" fillId="0" borderId="0" xfId="3" applyFont="1" applyAlignment="1">
      <alignment vertical="top" wrapText="1"/>
    </xf>
    <xf numFmtId="0" fontId="29" fillId="2" borderId="0" xfId="0" applyFont="1" applyFill="1" applyAlignment="1">
      <alignment horizontal="center"/>
    </xf>
    <xf numFmtId="0" fontId="13" fillId="2" borderId="19" xfId="0" applyFont="1" applyFill="1" applyBorder="1" applyAlignment="1">
      <alignment horizontal="center"/>
    </xf>
    <xf numFmtId="0" fontId="13" fillId="2" borderId="20" xfId="0" applyFont="1" applyFill="1" applyBorder="1" applyAlignment="1">
      <alignment horizontal="center"/>
    </xf>
    <xf numFmtId="0" fontId="29" fillId="2" borderId="0" xfId="0" applyFont="1" applyFill="1" applyAlignment="1">
      <alignment horizontal="left"/>
    </xf>
    <xf numFmtId="0" fontId="29" fillId="2" borderId="0" xfId="0" applyFont="1" applyFill="1" applyAlignment="1">
      <alignment horizontal="center" vertical="center"/>
    </xf>
    <xf numFmtId="0" fontId="13" fillId="2" borderId="19" xfId="0" applyFont="1" applyFill="1" applyBorder="1" applyAlignment="1">
      <alignment vertical="center" wrapText="1"/>
    </xf>
    <xf numFmtId="165" fontId="13" fillId="2" borderId="0" xfId="0" applyNumberFormat="1" applyFont="1" applyFill="1" applyAlignment="1">
      <alignment horizontal="center" vertical="center"/>
    </xf>
    <xf numFmtId="9" fontId="13" fillId="2" borderId="0" xfId="1" applyFont="1" applyFill="1" applyBorder="1" applyAlignment="1">
      <alignment horizontal="center" vertical="center"/>
    </xf>
    <xf numFmtId="9" fontId="13" fillId="2" borderId="0" xfId="1" applyFont="1" applyFill="1" applyBorder="1" applyAlignment="1">
      <alignment horizontal="center" vertical="center" wrapText="1"/>
    </xf>
    <xf numFmtId="0" fontId="13" fillId="2" borderId="0" xfId="1" applyNumberFormat="1" applyFont="1" applyFill="1" applyBorder="1" applyAlignment="1">
      <alignment horizontal="center" vertical="center"/>
    </xf>
    <xf numFmtId="0" fontId="13" fillId="2" borderId="20" xfId="0" applyFont="1" applyFill="1" applyBorder="1" applyAlignment="1">
      <alignment horizontal="center" vertical="center"/>
    </xf>
    <xf numFmtId="0" fontId="13" fillId="2" borderId="19" xfId="0" applyFont="1" applyFill="1" applyBorder="1" applyAlignment="1">
      <alignment horizontal="left" vertical="center" wrapText="1"/>
    </xf>
    <xf numFmtId="0" fontId="13" fillId="2" borderId="21" xfId="0" applyFont="1" applyFill="1" applyBorder="1" applyAlignment="1">
      <alignment vertical="center" wrapText="1"/>
    </xf>
    <xf numFmtId="0" fontId="13" fillId="2" borderId="22" xfId="0" applyFont="1" applyFill="1" applyBorder="1" applyAlignment="1">
      <alignment horizontal="center" vertical="center"/>
    </xf>
    <xf numFmtId="0" fontId="13" fillId="2" borderId="21" xfId="0" applyFont="1" applyFill="1" applyBorder="1" applyAlignment="1">
      <alignment horizontal="left" vertical="center" wrapText="1"/>
    </xf>
    <xf numFmtId="165" fontId="13" fillId="2" borderId="22" xfId="0" applyNumberFormat="1" applyFont="1" applyFill="1" applyBorder="1" applyAlignment="1">
      <alignment horizontal="center" vertical="center"/>
    </xf>
    <xf numFmtId="0" fontId="13" fillId="2" borderId="22" xfId="1" applyNumberFormat="1" applyFont="1" applyFill="1" applyBorder="1" applyAlignment="1">
      <alignment horizontal="center" vertical="center"/>
    </xf>
    <xf numFmtId="9" fontId="13" fillId="2" borderId="2" xfId="1" applyFont="1" applyFill="1" applyBorder="1" applyAlignment="1">
      <alignment horizontal="center" vertical="center" wrapText="1"/>
    </xf>
    <xf numFmtId="0" fontId="13" fillId="2" borderId="23" xfId="0" applyFont="1" applyFill="1" applyBorder="1" applyAlignment="1">
      <alignment horizontal="center" vertical="center"/>
    </xf>
    <xf numFmtId="0" fontId="13" fillId="2" borderId="2" xfId="1" applyNumberFormat="1" applyFont="1" applyFill="1" applyBorder="1" applyAlignment="1">
      <alignment horizontal="center" vertical="center"/>
    </xf>
    <xf numFmtId="0" fontId="13" fillId="2" borderId="6" xfId="0" applyFont="1" applyFill="1" applyBorder="1"/>
    <xf numFmtId="0" fontId="13" fillId="2" borderId="1" xfId="0" applyFont="1" applyFill="1" applyBorder="1" applyAlignment="1">
      <alignment horizontal="center"/>
    </xf>
    <xf numFmtId="0" fontId="19" fillId="2" borderId="0" xfId="0" applyFont="1" applyFill="1" applyAlignment="1">
      <alignment vertical="center" wrapText="1"/>
    </xf>
    <xf numFmtId="0" fontId="13" fillId="2" borderId="6" xfId="0" applyFont="1" applyFill="1" applyBorder="1" applyAlignment="1">
      <alignment horizontal="center" vertical="center" wrapText="1"/>
    </xf>
    <xf numFmtId="0" fontId="13" fillId="2" borderId="1" xfId="0" applyFont="1" applyFill="1" applyBorder="1" applyAlignment="1">
      <alignment horizontal="center" vertical="center"/>
    </xf>
    <xf numFmtId="0" fontId="29" fillId="2" borderId="6" xfId="0" applyFont="1" applyFill="1" applyBorder="1" applyAlignment="1">
      <alignment horizontal="center" vertical="center"/>
    </xf>
    <xf numFmtId="0" fontId="13" fillId="2" borderId="0" xfId="0" applyFont="1" applyFill="1" applyAlignment="1">
      <alignment vertical="center" wrapText="1"/>
    </xf>
    <xf numFmtId="0" fontId="19" fillId="2" borderId="0" xfId="0" applyFont="1" applyFill="1" applyAlignment="1">
      <alignment vertical="center"/>
    </xf>
    <xf numFmtId="0" fontId="13" fillId="2" borderId="22" xfId="0" applyFont="1" applyFill="1" applyBorder="1" applyAlignment="1">
      <alignment horizontal="center" vertical="center" wrapText="1"/>
    </xf>
    <xf numFmtId="0" fontId="13" fillId="2" borderId="2" xfId="0" applyFont="1" applyFill="1" applyBorder="1" applyAlignment="1">
      <alignment horizontal="center" vertical="center" wrapText="1"/>
    </xf>
    <xf numFmtId="165" fontId="13" fillId="2" borderId="2" xfId="0" applyNumberFormat="1" applyFont="1" applyFill="1" applyBorder="1" applyAlignment="1">
      <alignment horizontal="center" vertical="center"/>
    </xf>
    <xf numFmtId="9" fontId="13" fillId="2" borderId="2" xfId="1" applyFont="1" applyFill="1" applyBorder="1" applyAlignment="1">
      <alignment horizontal="center" vertical="center"/>
    </xf>
    <xf numFmtId="0" fontId="13" fillId="2" borderId="34" xfId="0" applyFont="1" applyFill="1" applyBorder="1" applyAlignment="1">
      <alignment horizontal="center" vertical="center"/>
    </xf>
    <xf numFmtId="0" fontId="13" fillId="2" borderId="7" xfId="0" applyFont="1" applyFill="1" applyBorder="1" applyAlignment="1">
      <alignment horizontal="center" vertical="center" wrapText="1"/>
    </xf>
    <xf numFmtId="0" fontId="13" fillId="2" borderId="2" xfId="0" applyFont="1" applyFill="1" applyBorder="1" applyAlignment="1">
      <alignment horizontal="left" vertical="center" wrapText="1"/>
    </xf>
    <xf numFmtId="0" fontId="13" fillId="2" borderId="2" xfId="0" applyFont="1" applyFill="1" applyBorder="1" applyAlignment="1">
      <alignment horizontal="center" vertical="center"/>
    </xf>
    <xf numFmtId="0" fontId="13" fillId="2" borderId="8" xfId="0" applyFont="1" applyFill="1" applyBorder="1" applyAlignment="1">
      <alignment horizontal="center" vertical="center"/>
    </xf>
    <xf numFmtId="0" fontId="29" fillId="2" borderId="7" xfId="0" applyFont="1" applyFill="1" applyBorder="1" applyAlignment="1">
      <alignment horizontal="center" vertical="center"/>
    </xf>
    <xf numFmtId="0" fontId="13" fillId="2" borderId="2" xfId="0" applyFont="1" applyFill="1" applyBorder="1" applyAlignment="1">
      <alignment vertical="center" wrapText="1"/>
    </xf>
    <xf numFmtId="0" fontId="13" fillId="0" borderId="0" xfId="0" applyFont="1"/>
    <xf numFmtId="0" fontId="13" fillId="2" borderId="0" xfId="0" applyFont="1" applyFill="1" applyAlignment="1">
      <alignment horizontal="right"/>
    </xf>
    <xf numFmtId="0" fontId="31" fillId="2" borderId="0" xfId="0" applyFont="1" applyFill="1" applyAlignment="1">
      <alignment vertical="center" wrapText="1"/>
    </xf>
    <xf numFmtId="0" fontId="31" fillId="2" borderId="0" xfId="0" applyFont="1" applyFill="1" applyAlignment="1">
      <alignment vertical="center"/>
    </xf>
    <xf numFmtId="165" fontId="22" fillId="2" borderId="0" xfId="0" applyNumberFormat="1" applyFont="1" applyFill="1" applyAlignment="1">
      <alignment horizontal="center" vertical="center"/>
    </xf>
    <xf numFmtId="2" fontId="13" fillId="2" borderId="0" xfId="0" applyNumberFormat="1" applyFont="1" applyFill="1" applyAlignment="1">
      <alignment horizontal="center" vertical="center"/>
    </xf>
    <xf numFmtId="9" fontId="13" fillId="2" borderId="0" xfId="1" applyFont="1" applyFill="1"/>
    <xf numFmtId="165" fontId="22" fillId="2" borderId="0" xfId="0" applyNumberFormat="1" applyFont="1" applyFill="1" applyAlignment="1">
      <alignment horizontal="center" vertical="center" wrapText="1"/>
    </xf>
    <xf numFmtId="2" fontId="22" fillId="2" borderId="1" xfId="0" applyNumberFormat="1" applyFont="1" applyFill="1" applyBorder="1" applyAlignment="1">
      <alignment horizontal="center" vertical="center" wrapText="1"/>
    </xf>
    <xf numFmtId="0" fontId="22" fillId="2" borderId="0" xfId="0" applyFont="1" applyFill="1" applyAlignment="1">
      <alignment vertical="center"/>
    </xf>
    <xf numFmtId="2" fontId="22" fillId="2" borderId="0" xfId="0" applyNumberFormat="1" applyFont="1" applyFill="1" applyAlignment="1">
      <alignment horizontal="right" vertical="center" wrapText="1"/>
    </xf>
    <xf numFmtId="166" fontId="13" fillId="2" borderId="0" xfId="1" applyNumberFormat="1" applyFont="1" applyFill="1"/>
    <xf numFmtId="9" fontId="13" fillId="2" borderId="0" xfId="0" applyNumberFormat="1" applyFont="1" applyFill="1"/>
    <xf numFmtId="165" fontId="13" fillId="2" borderId="0" xfId="0" applyNumberFormat="1" applyFont="1" applyFill="1"/>
    <xf numFmtId="0" fontId="13" fillId="2" borderId="9" xfId="0" applyFont="1" applyFill="1" applyBorder="1"/>
    <xf numFmtId="165" fontId="13" fillId="2" borderId="9" xfId="0" applyNumberFormat="1" applyFont="1" applyFill="1" applyBorder="1"/>
    <xf numFmtId="9" fontId="13" fillId="2" borderId="9" xfId="0" applyNumberFormat="1" applyFont="1" applyFill="1" applyBorder="1"/>
    <xf numFmtId="0" fontId="13" fillId="2" borderId="0" xfId="1" applyNumberFormat="1" applyFont="1" applyFill="1"/>
    <xf numFmtId="165" fontId="13" fillId="2" borderId="0" xfId="1" applyNumberFormat="1" applyFont="1" applyFill="1" applyBorder="1"/>
    <xf numFmtId="165" fontId="13" fillId="2" borderId="0" xfId="1" applyNumberFormat="1" applyFont="1" applyFill="1"/>
    <xf numFmtId="0" fontId="35" fillId="2" borderId="0" xfId="0" applyFont="1" applyFill="1"/>
    <xf numFmtId="0" fontId="13" fillId="2" borderId="1" xfId="0" applyFont="1" applyFill="1" applyBorder="1"/>
    <xf numFmtId="0" fontId="22" fillId="2" borderId="0" xfId="0" applyFont="1" applyFill="1"/>
    <xf numFmtId="165" fontId="22" fillId="2" borderId="0" xfId="0" applyNumberFormat="1" applyFont="1" applyFill="1" applyAlignment="1">
      <alignment horizontal="right" vertical="center" wrapText="1"/>
    </xf>
    <xf numFmtId="0" fontId="37" fillId="2" borderId="0" xfId="0" applyFont="1" applyFill="1" applyAlignment="1">
      <alignment vertical="center" wrapText="1"/>
    </xf>
    <xf numFmtId="0" fontId="37" fillId="2" borderId="0" xfId="0" applyFont="1" applyFill="1"/>
    <xf numFmtId="2" fontId="37" fillId="2" borderId="0" xfId="0" applyNumberFormat="1" applyFont="1" applyFill="1"/>
    <xf numFmtId="0" fontId="13" fillId="2" borderId="3" xfId="0" applyFont="1" applyFill="1" applyBorder="1"/>
    <xf numFmtId="0" fontId="22" fillId="2" borderId="4" xfId="0" applyFont="1" applyFill="1" applyBorder="1"/>
    <xf numFmtId="0" fontId="13" fillId="2" borderId="4" xfId="0" applyFont="1" applyFill="1" applyBorder="1"/>
    <xf numFmtId="165" fontId="13" fillId="2" borderId="4" xfId="0" applyNumberFormat="1" applyFont="1" applyFill="1" applyBorder="1"/>
    <xf numFmtId="0" fontId="13" fillId="2" borderId="5" xfId="0" applyFont="1" applyFill="1" applyBorder="1"/>
    <xf numFmtId="0" fontId="21" fillId="2" borderId="6" xfId="0" applyFont="1" applyFill="1" applyBorder="1"/>
    <xf numFmtId="165" fontId="22" fillId="2" borderId="0" xfId="0" applyNumberFormat="1" applyFont="1" applyFill="1"/>
    <xf numFmtId="0" fontId="31" fillId="2" borderId="0" xfId="0" applyFont="1" applyFill="1"/>
    <xf numFmtId="0" fontId="22" fillId="2" borderId="1" xfId="0" applyFont="1" applyFill="1" applyBorder="1"/>
    <xf numFmtId="2" fontId="22" fillId="2" borderId="0" xfId="0" applyNumberFormat="1" applyFont="1" applyFill="1"/>
    <xf numFmtId="9" fontId="35" fillId="2" borderId="0" xfId="1" applyFont="1" applyFill="1"/>
    <xf numFmtId="0" fontId="22" fillId="2" borderId="6" xfId="0" applyFont="1" applyFill="1" applyBorder="1"/>
    <xf numFmtId="2" fontId="22" fillId="2" borderId="0" xfId="0" applyNumberFormat="1" applyFont="1" applyFill="1" applyAlignment="1">
      <alignment horizontal="right"/>
    </xf>
    <xf numFmtId="165" fontId="22" fillId="2" borderId="0" xfId="0" applyNumberFormat="1" applyFont="1" applyFill="1" applyAlignment="1">
      <alignment horizontal="right"/>
    </xf>
    <xf numFmtId="168" fontId="22" fillId="2" borderId="0" xfId="0" applyNumberFormat="1" applyFont="1" applyFill="1"/>
    <xf numFmtId="0" fontId="13" fillId="2" borderId="6" xfId="0" applyFont="1" applyFill="1" applyBorder="1" applyAlignment="1">
      <alignment vertical="center" wrapText="1"/>
    </xf>
    <xf numFmtId="0" fontId="13" fillId="2" borderId="4" xfId="0" applyFont="1" applyFill="1" applyBorder="1" applyAlignment="1">
      <alignment vertical="center" wrapText="1"/>
    </xf>
    <xf numFmtId="0" fontId="38" fillId="2" borderId="4" xfId="0" applyFont="1" applyFill="1" applyBorder="1" applyAlignment="1">
      <alignment vertical="center"/>
    </xf>
    <xf numFmtId="165" fontId="35" fillId="2" borderId="4" xfId="0" applyNumberFormat="1" applyFont="1" applyFill="1" applyBorder="1"/>
    <xf numFmtId="165" fontId="35" fillId="2" borderId="0" xfId="0" applyNumberFormat="1" applyFont="1" applyFill="1"/>
    <xf numFmtId="0" fontId="38" fillId="2" borderId="0" xfId="0" applyFont="1" applyFill="1" applyAlignment="1">
      <alignment vertical="center"/>
    </xf>
    <xf numFmtId="0" fontId="35" fillId="0" borderId="0" xfId="0" applyFont="1"/>
    <xf numFmtId="0" fontId="22" fillId="0" borderId="0" xfId="0" applyFont="1"/>
    <xf numFmtId="165" fontId="22" fillId="0" borderId="0" xfId="0" applyNumberFormat="1" applyFont="1"/>
    <xf numFmtId="165" fontId="35" fillId="0" borderId="0" xfId="0" applyNumberFormat="1" applyFont="1"/>
    <xf numFmtId="0" fontId="13" fillId="2" borderId="0" xfId="0" applyFont="1" applyFill="1" applyAlignment="1">
      <alignment vertical="center"/>
    </xf>
    <xf numFmtId="44" fontId="13" fillId="2" borderId="6" xfId="3" applyFont="1" applyFill="1" applyBorder="1" applyAlignment="1">
      <alignment horizontal="center" vertical="center"/>
    </xf>
    <xf numFmtId="167" fontId="13" fillId="2" borderId="1" xfId="0" applyNumberFormat="1" applyFont="1" applyFill="1" applyBorder="1" applyAlignment="1">
      <alignment vertical="center"/>
    </xf>
    <xf numFmtId="167" fontId="13" fillId="2" borderId="0" xfId="0" applyNumberFormat="1" applyFont="1" applyFill="1" applyAlignment="1">
      <alignment vertical="center"/>
    </xf>
    <xf numFmtId="167" fontId="13" fillId="2" borderId="6" xfId="0" applyNumberFormat="1" applyFont="1" applyFill="1" applyBorder="1" applyAlignment="1">
      <alignment vertical="center"/>
    </xf>
    <xf numFmtId="44" fontId="13" fillId="2" borderId="0" xfId="3" applyFont="1" applyFill="1" applyBorder="1" applyAlignment="1">
      <alignment vertical="center"/>
    </xf>
    <xf numFmtId="0" fontId="13" fillId="2" borderId="2" xfId="0" applyFont="1" applyFill="1" applyBorder="1" applyAlignment="1">
      <alignment vertical="center"/>
    </xf>
    <xf numFmtId="44" fontId="13" fillId="2" borderId="7" xfId="3" applyFont="1" applyFill="1" applyBorder="1" applyAlignment="1">
      <alignment horizontal="center" vertical="center"/>
    </xf>
    <xf numFmtId="167" fontId="13" fillId="2" borderId="8" xfId="0" applyNumberFormat="1" applyFont="1" applyFill="1" applyBorder="1" applyAlignment="1">
      <alignment vertical="center"/>
    </xf>
    <xf numFmtId="167" fontId="13" fillId="2" borderId="7" xfId="0" applyNumberFormat="1" applyFont="1" applyFill="1" applyBorder="1" applyAlignment="1">
      <alignment vertical="center"/>
    </xf>
    <xf numFmtId="167" fontId="13" fillId="2" borderId="2" xfId="0" applyNumberFormat="1" applyFont="1" applyFill="1" applyBorder="1" applyAlignment="1">
      <alignment vertical="center"/>
    </xf>
    <xf numFmtId="44" fontId="13" fillId="2" borderId="1" xfId="3" applyFont="1" applyFill="1" applyBorder="1" applyAlignment="1">
      <alignment horizontal="center" vertical="center"/>
    </xf>
    <xf numFmtId="44" fontId="13" fillId="2" borderId="0" xfId="3" applyFont="1" applyFill="1" applyBorder="1" applyAlignment="1">
      <alignment horizontal="center" vertical="center"/>
    </xf>
    <xf numFmtId="44" fontId="13" fillId="2" borderId="2" xfId="3" applyFont="1" applyFill="1" applyBorder="1" applyAlignment="1">
      <alignment horizontal="center" vertical="center"/>
    </xf>
    <xf numFmtId="0" fontId="16" fillId="11" borderId="35" xfId="0" applyFont="1" applyFill="1" applyBorder="1" applyAlignment="1">
      <alignment horizontal="center" vertical="center"/>
    </xf>
    <xf numFmtId="0" fontId="19" fillId="11" borderId="35" xfId="0" applyFont="1" applyFill="1" applyBorder="1" applyAlignment="1">
      <alignment horizontal="center" vertical="center" wrapText="1"/>
    </xf>
    <xf numFmtId="0" fontId="20" fillId="11" borderId="35" xfId="0" applyFont="1" applyFill="1" applyBorder="1" applyAlignment="1">
      <alignment horizontal="center" vertical="center" wrapText="1"/>
    </xf>
    <xf numFmtId="0" fontId="24" fillId="5" borderId="35" xfId="0" applyFont="1" applyFill="1" applyBorder="1" applyAlignment="1">
      <alignment horizontal="center" vertical="center"/>
    </xf>
    <xf numFmtId="0" fontId="24" fillId="6" borderId="35" xfId="0" applyFont="1" applyFill="1" applyBorder="1" applyAlignment="1">
      <alignment horizontal="center" vertical="center" wrapText="1"/>
    </xf>
    <xf numFmtId="0" fontId="24" fillId="11" borderId="35" xfId="0" applyFont="1" applyFill="1" applyBorder="1" applyAlignment="1">
      <alignment horizontal="center" vertical="center" wrapText="1"/>
    </xf>
    <xf numFmtId="0" fontId="24" fillId="11" borderId="35" xfId="0" applyFont="1" applyFill="1" applyBorder="1" applyAlignment="1">
      <alignment horizontal="center" vertical="center"/>
    </xf>
    <xf numFmtId="0" fontId="13" fillId="2" borderId="0" xfId="0" applyFont="1" applyFill="1" applyAlignment="1">
      <alignment vertical="top"/>
    </xf>
    <xf numFmtId="0" fontId="25" fillId="2" borderId="38" xfId="0" applyFont="1" applyFill="1" applyBorder="1" applyAlignment="1">
      <alignment vertical="top" wrapText="1"/>
    </xf>
    <xf numFmtId="0" fontId="13" fillId="3" borderId="6" xfId="0" applyFont="1" applyFill="1" applyBorder="1" applyAlignment="1">
      <alignment horizontal="center" vertical="top" wrapText="1"/>
    </xf>
    <xf numFmtId="9" fontId="13" fillId="3" borderId="6" xfId="1" applyFont="1" applyFill="1" applyBorder="1" applyAlignment="1">
      <alignment vertical="top" wrapText="1"/>
    </xf>
    <xf numFmtId="9" fontId="13" fillId="2" borderId="6" xfId="1" applyFont="1" applyFill="1" applyBorder="1" applyAlignment="1">
      <alignment vertical="top" wrapText="1"/>
    </xf>
    <xf numFmtId="9" fontId="13" fillId="2" borderId="7" xfId="1" applyFont="1" applyFill="1" applyBorder="1" applyAlignment="1">
      <alignment vertical="top" wrapText="1"/>
    </xf>
    <xf numFmtId="0" fontId="13" fillId="2" borderId="39" xfId="0" applyFont="1" applyFill="1" applyBorder="1" applyAlignment="1">
      <alignment horizontal="center" vertical="top" wrapText="1"/>
    </xf>
    <xf numFmtId="0" fontId="44" fillId="2" borderId="3" xfId="0" applyFont="1" applyFill="1" applyBorder="1" applyAlignment="1">
      <alignment vertical="top" wrapText="1"/>
    </xf>
    <xf numFmtId="0" fontId="44" fillId="2" borderId="4" xfId="0" applyFont="1" applyFill="1" applyBorder="1" applyAlignment="1">
      <alignment wrapText="1"/>
    </xf>
    <xf numFmtId="0" fontId="44" fillId="2" borderId="5" xfId="0" applyFont="1" applyFill="1" applyBorder="1" applyAlignment="1">
      <alignment wrapText="1"/>
    </xf>
    <xf numFmtId="0" fontId="44" fillId="3" borderId="3" xfId="0" applyFont="1" applyFill="1" applyBorder="1" applyAlignment="1">
      <alignment wrapText="1"/>
    </xf>
    <xf numFmtId="0" fontId="44" fillId="3" borderId="4" xfId="0" applyFont="1" applyFill="1" applyBorder="1" applyAlignment="1">
      <alignment wrapText="1"/>
    </xf>
    <xf numFmtId="9" fontId="13" fillId="2" borderId="0" xfId="1" applyFont="1" applyFill="1" applyBorder="1" applyAlignment="1">
      <alignment vertical="top" wrapText="1"/>
    </xf>
    <xf numFmtId="9" fontId="13" fillId="2" borderId="0" xfId="1" applyFont="1" applyFill="1" applyBorder="1" applyAlignment="1"/>
    <xf numFmtId="9" fontId="13" fillId="2" borderId="0" xfId="0" applyNumberFormat="1" applyFont="1" applyFill="1" applyAlignment="1">
      <alignment wrapText="1"/>
    </xf>
    <xf numFmtId="9" fontId="13" fillId="2" borderId="2" xfId="1" applyFont="1" applyFill="1" applyBorder="1" applyAlignment="1">
      <alignment vertical="top" wrapText="1"/>
    </xf>
    <xf numFmtId="9" fontId="13" fillId="2" borderId="4" xfId="1" applyFont="1" applyFill="1" applyBorder="1" applyAlignment="1">
      <alignment vertical="top" wrapText="1"/>
    </xf>
    <xf numFmtId="0" fontId="13" fillId="3" borderId="38" xfId="0" applyFont="1" applyFill="1" applyBorder="1" applyAlignment="1">
      <alignment vertical="top" wrapText="1"/>
    </xf>
    <xf numFmtId="0" fontId="13" fillId="3" borderId="40" xfId="0" applyFont="1" applyFill="1" applyBorder="1" applyAlignment="1">
      <alignment vertical="top" wrapText="1"/>
    </xf>
    <xf numFmtId="0" fontId="44" fillId="2" borderId="38" xfId="0" applyFont="1" applyFill="1" applyBorder="1" applyAlignment="1">
      <alignment vertical="top" wrapText="1"/>
    </xf>
    <xf numFmtId="0" fontId="13" fillId="2" borderId="38" xfId="0" applyFont="1" applyFill="1" applyBorder="1" applyAlignment="1">
      <alignment vertical="top" wrapText="1"/>
    </xf>
    <xf numFmtId="0" fontId="25" fillId="2" borderId="39" xfId="0" applyFont="1" applyFill="1" applyBorder="1" applyAlignment="1">
      <alignment vertical="top" wrapText="1"/>
    </xf>
    <xf numFmtId="0" fontId="44" fillId="3" borderId="38" xfId="0" applyFont="1" applyFill="1" applyBorder="1" applyAlignment="1">
      <alignment wrapText="1"/>
    </xf>
    <xf numFmtId="0" fontId="13" fillId="3" borderId="40" xfId="0" applyFont="1" applyFill="1" applyBorder="1" applyAlignment="1">
      <alignment wrapText="1"/>
    </xf>
    <xf numFmtId="0" fontId="13" fillId="3" borderId="39" xfId="0" applyFont="1" applyFill="1" applyBorder="1" applyAlignment="1">
      <alignment horizontal="left" wrapText="1"/>
    </xf>
    <xf numFmtId="0" fontId="13" fillId="0" borderId="6" xfId="0" applyFont="1" applyBorder="1" applyAlignment="1">
      <alignment wrapText="1"/>
    </xf>
    <xf numFmtId="0" fontId="13" fillId="2" borderId="3" xfId="0" applyFont="1" applyFill="1" applyBorder="1" applyAlignment="1">
      <alignment wrapText="1"/>
    </xf>
    <xf numFmtId="0" fontId="13" fillId="2" borderId="6" xfId="0" applyFont="1" applyFill="1" applyBorder="1" applyAlignment="1">
      <alignment wrapText="1"/>
    </xf>
    <xf numFmtId="0" fontId="30" fillId="3" borderId="0" xfId="2" applyFont="1" applyFill="1" applyBorder="1" applyAlignment="1">
      <alignment wrapText="1"/>
    </xf>
    <xf numFmtId="0" fontId="13" fillId="2" borderId="38" xfId="0" applyFont="1" applyFill="1" applyBorder="1" applyAlignment="1">
      <alignment wrapText="1"/>
    </xf>
    <xf numFmtId="0" fontId="30" fillId="2" borderId="39" xfId="2" applyFont="1" applyFill="1" applyBorder="1" applyAlignment="1">
      <alignment wrapText="1"/>
    </xf>
    <xf numFmtId="0" fontId="42" fillId="9" borderId="35" xfId="0" applyFont="1" applyFill="1" applyBorder="1" applyAlignment="1">
      <alignment vertical="top" wrapText="1"/>
    </xf>
    <xf numFmtId="0" fontId="42" fillId="9" borderId="36" xfId="0" applyFont="1" applyFill="1" applyBorder="1" applyAlignment="1">
      <alignment vertical="top" wrapText="1"/>
    </xf>
    <xf numFmtId="0" fontId="42" fillId="9" borderId="38" xfId="0" applyFont="1" applyFill="1" applyBorder="1" applyAlignment="1">
      <alignment wrapText="1"/>
    </xf>
    <xf numFmtId="0" fontId="42" fillId="9" borderId="33" xfId="0" applyFont="1" applyFill="1" applyBorder="1" applyAlignment="1">
      <alignment wrapText="1"/>
    </xf>
    <xf numFmtId="0" fontId="43" fillId="9" borderId="35" xfId="0" applyFont="1" applyFill="1" applyBorder="1" applyAlignment="1">
      <alignment vertical="top" wrapText="1"/>
    </xf>
    <xf numFmtId="0" fontId="43" fillId="9" borderId="36" xfId="0" applyFont="1" applyFill="1" applyBorder="1" applyAlignment="1">
      <alignment vertical="top" wrapText="1"/>
    </xf>
    <xf numFmtId="0" fontId="42" fillId="9" borderId="37" xfId="0" applyFont="1" applyFill="1" applyBorder="1" applyAlignment="1">
      <alignment wrapText="1"/>
    </xf>
    <xf numFmtId="0" fontId="43" fillId="9" borderId="33" xfId="0" applyFont="1" applyFill="1" applyBorder="1" applyAlignment="1">
      <alignment wrapText="1"/>
    </xf>
    <xf numFmtId="0" fontId="43" fillId="9" borderId="37" xfId="0" applyFont="1" applyFill="1" applyBorder="1" applyAlignment="1">
      <alignment wrapText="1"/>
    </xf>
    <xf numFmtId="0" fontId="42" fillId="9" borderId="40" xfId="0" applyFont="1" applyFill="1" applyBorder="1" applyAlignment="1">
      <alignment vertical="top" wrapText="1"/>
    </xf>
    <xf numFmtId="0" fontId="43" fillId="9" borderId="40" xfId="0" applyFont="1" applyFill="1" applyBorder="1" applyAlignment="1">
      <alignment vertical="top" wrapText="1"/>
    </xf>
    <xf numFmtId="0" fontId="43" fillId="9" borderId="7" xfId="0" applyFont="1" applyFill="1" applyBorder="1" applyAlignment="1">
      <alignment wrapText="1"/>
    </xf>
    <xf numFmtId="0" fontId="43" fillId="9" borderId="2" xfId="0" applyFont="1" applyFill="1" applyBorder="1" applyAlignment="1">
      <alignment wrapText="1"/>
    </xf>
    <xf numFmtId="0" fontId="43" fillId="9" borderId="8" xfId="0" applyFont="1" applyFill="1" applyBorder="1" applyAlignment="1">
      <alignment wrapText="1"/>
    </xf>
    <xf numFmtId="0" fontId="42" fillId="9" borderId="39" xfId="0" applyFont="1" applyFill="1" applyBorder="1" applyAlignment="1">
      <alignment wrapText="1"/>
    </xf>
    <xf numFmtId="0" fontId="13" fillId="12" borderId="33" xfId="0" applyFont="1" applyFill="1" applyBorder="1" applyAlignment="1">
      <alignment vertical="top" wrapText="1"/>
    </xf>
    <xf numFmtId="0" fontId="13" fillId="12" borderId="33" xfId="0" applyFont="1" applyFill="1" applyBorder="1" applyAlignment="1">
      <alignment wrapText="1"/>
    </xf>
    <xf numFmtId="0" fontId="13" fillId="12" borderId="37" xfId="0" applyFont="1" applyFill="1" applyBorder="1" applyAlignment="1">
      <alignment wrapText="1"/>
    </xf>
    <xf numFmtId="0" fontId="45" fillId="5" borderId="0" xfId="0" applyFont="1" applyFill="1" applyAlignment="1">
      <alignment vertical="top" wrapText="1"/>
    </xf>
    <xf numFmtId="0" fontId="13" fillId="3" borderId="4" xfId="0" applyFont="1" applyFill="1" applyBorder="1" applyAlignment="1">
      <alignment vertical="top"/>
    </xf>
    <xf numFmtId="0" fontId="13" fillId="3" borderId="39" xfId="0" applyFont="1" applyFill="1" applyBorder="1" applyAlignment="1">
      <alignment horizontal="left" vertical="top" wrapText="1"/>
    </xf>
    <xf numFmtId="9" fontId="13" fillId="3" borderId="1" xfId="1" applyFont="1" applyFill="1" applyBorder="1" applyAlignment="1">
      <alignment vertical="top" wrapText="1"/>
    </xf>
    <xf numFmtId="9" fontId="13" fillId="2" borderId="1" xfId="1" applyFont="1" applyFill="1" applyBorder="1" applyAlignment="1">
      <alignment vertical="top" wrapText="1"/>
    </xf>
    <xf numFmtId="9" fontId="13" fillId="2" borderId="8" xfId="1" applyFont="1" applyFill="1" applyBorder="1" applyAlignment="1">
      <alignment vertical="top" wrapText="1"/>
    </xf>
    <xf numFmtId="0" fontId="25" fillId="3" borderId="39" xfId="0" applyFont="1" applyFill="1" applyBorder="1" applyAlignment="1">
      <alignment vertical="top" wrapText="1"/>
    </xf>
    <xf numFmtId="0" fontId="45" fillId="5" borderId="0" xfId="0" applyFont="1" applyFill="1" applyAlignment="1">
      <alignment vertical="top"/>
    </xf>
    <xf numFmtId="0" fontId="19" fillId="0" borderId="0" xfId="0" applyFont="1" applyAlignment="1">
      <alignment vertical="top" wrapText="1"/>
    </xf>
    <xf numFmtId="0" fontId="19" fillId="0" borderId="0" xfId="0" applyFont="1" applyAlignment="1">
      <alignment wrapText="1"/>
    </xf>
    <xf numFmtId="0" fontId="43" fillId="9" borderId="38" xfId="0" applyFont="1" applyFill="1" applyBorder="1" applyAlignment="1">
      <alignment vertical="top" wrapText="1"/>
    </xf>
    <xf numFmtId="0" fontId="43" fillId="9" borderId="38" xfId="0" applyFont="1" applyFill="1" applyBorder="1" applyAlignment="1">
      <alignment vertical="top"/>
    </xf>
    <xf numFmtId="0" fontId="13" fillId="3" borderId="38" xfId="0" applyFont="1" applyFill="1" applyBorder="1" applyAlignment="1">
      <alignment horizontal="center" vertical="top" wrapText="1"/>
    </xf>
    <xf numFmtId="9" fontId="13" fillId="3" borderId="40" xfId="1" applyFont="1" applyFill="1" applyBorder="1" applyAlignment="1">
      <alignment vertical="top" wrapText="1"/>
    </xf>
    <xf numFmtId="9" fontId="13" fillId="3" borderId="38" xfId="1" applyFont="1" applyFill="1" applyBorder="1" applyAlignment="1">
      <alignment vertical="top" wrapText="1"/>
    </xf>
    <xf numFmtId="9" fontId="13" fillId="3" borderId="7" xfId="1" applyFont="1" applyFill="1" applyBorder="1" applyAlignment="1">
      <alignment vertical="top" wrapText="1"/>
    </xf>
    <xf numFmtId="9" fontId="13" fillId="3" borderId="8" xfId="1" applyFont="1" applyFill="1" applyBorder="1" applyAlignment="1">
      <alignment vertical="top" wrapText="1"/>
    </xf>
    <xf numFmtId="0" fontId="7" fillId="2" borderId="5" xfId="0" applyFont="1" applyFill="1" applyBorder="1" applyAlignment="1">
      <alignment wrapText="1"/>
    </xf>
    <xf numFmtId="0" fontId="7" fillId="2" borderId="38" xfId="0" applyFont="1" applyFill="1" applyBorder="1" applyAlignment="1">
      <alignment vertical="top" wrapText="1"/>
    </xf>
    <xf numFmtId="9" fontId="13" fillId="3" borderId="0" xfId="1" applyFont="1" applyFill="1" applyBorder="1" applyAlignment="1">
      <alignment vertical="top" wrapText="1"/>
    </xf>
    <xf numFmtId="0" fontId="13" fillId="2" borderId="3" xfId="0" applyFont="1" applyFill="1" applyBorder="1" applyAlignment="1">
      <alignment horizontal="center" vertical="top" wrapText="1"/>
    </xf>
    <xf numFmtId="0" fontId="13" fillId="2" borderId="5" xfId="0" applyFont="1" applyFill="1" applyBorder="1" applyAlignment="1">
      <alignment vertical="top" wrapText="1"/>
    </xf>
    <xf numFmtId="0" fontId="43" fillId="9" borderId="3" xfId="0" applyFont="1" applyFill="1" applyBorder="1" applyAlignment="1">
      <alignment vertical="top"/>
    </xf>
    <xf numFmtId="0" fontId="43" fillId="9" borderId="5" xfId="0" applyFont="1" applyFill="1" applyBorder="1" applyAlignment="1">
      <alignment wrapText="1"/>
    </xf>
    <xf numFmtId="0" fontId="13" fillId="3" borderId="0" xfId="0" applyFont="1" applyFill="1" applyAlignment="1">
      <alignment horizontal="center" vertical="top" wrapText="1"/>
    </xf>
    <xf numFmtId="0" fontId="43" fillId="9" borderId="38" xfId="0" applyFont="1" applyFill="1" applyBorder="1" applyAlignment="1">
      <alignment wrapText="1"/>
    </xf>
    <xf numFmtId="9" fontId="13" fillId="2" borderId="40" xfId="1" applyFont="1" applyFill="1" applyBorder="1" applyAlignment="1">
      <alignment vertical="top" wrapText="1"/>
    </xf>
    <xf numFmtId="0" fontId="7" fillId="2" borderId="3" xfId="0" applyFont="1" applyFill="1" applyBorder="1" applyAlignment="1">
      <alignment vertical="top"/>
    </xf>
    <xf numFmtId="0" fontId="7" fillId="2" borderId="38" xfId="0" applyFont="1" applyFill="1" applyBorder="1" applyAlignment="1">
      <alignment wrapText="1"/>
    </xf>
    <xf numFmtId="0" fontId="7" fillId="3" borderId="38" xfId="0" applyFont="1" applyFill="1" applyBorder="1" applyAlignment="1">
      <alignment vertical="top" wrapText="1"/>
    </xf>
    <xf numFmtId="0" fontId="7" fillId="3" borderId="3" xfId="0" applyFont="1" applyFill="1" applyBorder="1" applyAlignment="1">
      <alignment vertical="top"/>
    </xf>
    <xf numFmtId="0" fontId="7" fillId="3" borderId="5" xfId="0" applyFont="1" applyFill="1" applyBorder="1" applyAlignment="1">
      <alignment wrapText="1"/>
    </xf>
    <xf numFmtId="0" fontId="7" fillId="3" borderId="38" xfId="0" applyFont="1" applyFill="1" applyBorder="1" applyAlignment="1">
      <alignment wrapText="1"/>
    </xf>
    <xf numFmtId="0" fontId="7" fillId="3" borderId="40" xfId="0" applyFont="1" applyFill="1" applyBorder="1" applyAlignment="1">
      <alignment vertical="top" wrapText="1"/>
    </xf>
    <xf numFmtId="0" fontId="7" fillId="3" borderId="7" xfId="0" applyFont="1" applyFill="1" applyBorder="1" applyAlignment="1">
      <alignment vertical="top"/>
    </xf>
    <xf numFmtId="0" fontId="7" fillId="3" borderId="8" xfId="0" applyFont="1" applyFill="1" applyBorder="1" applyAlignment="1">
      <alignment wrapText="1"/>
    </xf>
    <xf numFmtId="0" fontId="42" fillId="9" borderId="38" xfId="0" applyFont="1" applyFill="1" applyBorder="1" applyAlignment="1">
      <alignment vertical="top" wrapText="1"/>
    </xf>
    <xf numFmtId="0" fontId="13" fillId="10" borderId="33" xfId="0" applyFont="1" applyFill="1" applyBorder="1" applyAlignment="1">
      <alignment vertical="top" wrapText="1"/>
    </xf>
    <xf numFmtId="0" fontId="13" fillId="10" borderId="33" xfId="0" applyFont="1" applyFill="1" applyBorder="1" applyAlignment="1">
      <alignment wrapText="1"/>
    </xf>
    <xf numFmtId="0" fontId="13" fillId="10" borderId="37" xfId="0" applyFont="1" applyFill="1" applyBorder="1" applyAlignment="1">
      <alignment wrapText="1"/>
    </xf>
    <xf numFmtId="0" fontId="26" fillId="12" borderId="36" xfId="0" applyFont="1" applyFill="1" applyBorder="1" applyAlignment="1">
      <alignment wrapText="1"/>
    </xf>
    <xf numFmtId="0" fontId="26" fillId="10" borderId="36" xfId="0" applyFont="1" applyFill="1" applyBorder="1" applyAlignment="1">
      <alignment wrapText="1"/>
    </xf>
    <xf numFmtId="0" fontId="46" fillId="9" borderId="35" xfId="0" applyFont="1" applyFill="1" applyBorder="1" applyAlignment="1">
      <alignment vertical="top" wrapText="1"/>
    </xf>
    <xf numFmtId="0" fontId="43" fillId="9" borderId="35" xfId="0" applyFont="1" applyFill="1" applyBorder="1" applyAlignment="1">
      <alignment wrapText="1"/>
    </xf>
    <xf numFmtId="0" fontId="13" fillId="2" borderId="35" xfId="0" applyFont="1" applyFill="1" applyBorder="1" applyAlignment="1">
      <alignment horizontal="right" vertical="top" wrapText="1"/>
    </xf>
    <xf numFmtId="0" fontId="13" fillId="2" borderId="35" xfId="0" applyFont="1" applyFill="1" applyBorder="1" applyAlignment="1">
      <alignment wrapText="1"/>
    </xf>
    <xf numFmtId="0" fontId="13" fillId="2" borderId="35" xfId="0" applyFont="1" applyFill="1" applyBorder="1" applyAlignment="1">
      <alignment vertical="top" wrapText="1"/>
    </xf>
    <xf numFmtId="0" fontId="24" fillId="2" borderId="0" xfId="0" applyFont="1" applyFill="1" applyAlignment="1">
      <alignment vertical="top"/>
    </xf>
    <xf numFmtId="0" fontId="2" fillId="2" borderId="35" xfId="0" applyFont="1" applyFill="1" applyBorder="1" applyAlignment="1">
      <alignment vertical="top" wrapText="1"/>
    </xf>
    <xf numFmtId="0" fontId="4" fillId="2" borderId="35" xfId="0" applyFont="1" applyFill="1" applyBorder="1" applyAlignment="1">
      <alignment vertical="top" wrapText="1"/>
    </xf>
    <xf numFmtId="9" fontId="42" fillId="9" borderId="0" xfId="1" applyFont="1" applyFill="1" applyBorder="1" applyAlignment="1">
      <alignment vertical="top" wrapText="1"/>
    </xf>
    <xf numFmtId="0" fontId="41" fillId="9" borderId="1" xfId="0" applyFont="1" applyFill="1" applyBorder="1" applyAlignment="1">
      <alignment wrapText="1"/>
    </xf>
    <xf numFmtId="9" fontId="42" fillId="9" borderId="4" xfId="1" applyFont="1" applyFill="1" applyBorder="1" applyAlignment="1">
      <alignment vertical="top" wrapText="1"/>
    </xf>
    <xf numFmtId="0" fontId="43" fillId="9" borderId="0" xfId="0" applyFont="1" applyFill="1" applyAlignment="1">
      <alignment wrapText="1"/>
    </xf>
    <xf numFmtId="0" fontId="43" fillId="9" borderId="1" xfId="0" applyFont="1" applyFill="1" applyBorder="1" applyAlignment="1">
      <alignment wrapText="1"/>
    </xf>
    <xf numFmtId="0" fontId="42" fillId="9" borderId="39" xfId="0" applyFont="1" applyFill="1" applyBorder="1" applyAlignment="1">
      <alignment vertical="top" wrapText="1"/>
    </xf>
    <xf numFmtId="0" fontId="42" fillId="9" borderId="6" xfId="0" applyFont="1" applyFill="1" applyBorder="1" applyAlignment="1">
      <alignment horizontal="right" vertical="top" wrapText="1"/>
    </xf>
    <xf numFmtId="0" fontId="42" fillId="9" borderId="3" xfId="0" applyFont="1" applyFill="1" applyBorder="1" applyAlignment="1">
      <alignment horizontal="right" vertical="top" wrapText="1"/>
    </xf>
    <xf numFmtId="165" fontId="13" fillId="2" borderId="6" xfId="0" applyNumberFormat="1" applyFont="1" applyFill="1" applyBorder="1" applyAlignment="1">
      <alignment vertical="top" wrapText="1"/>
    </xf>
    <xf numFmtId="0" fontId="17" fillId="2" borderId="38" xfId="0" applyFont="1" applyFill="1" applyBorder="1" applyAlignment="1">
      <alignment vertical="top" wrapText="1"/>
    </xf>
    <xf numFmtId="0" fontId="6" fillId="2" borderId="38" xfId="0" applyFont="1" applyFill="1" applyBorder="1" applyAlignment="1">
      <alignment vertical="top" wrapText="1"/>
    </xf>
    <xf numFmtId="0" fontId="26" fillId="2" borderId="0" xfId="0" applyFont="1" applyFill="1" applyAlignment="1">
      <alignment wrapText="1"/>
    </xf>
    <xf numFmtId="0" fontId="17" fillId="3" borderId="39" xfId="0" applyFont="1" applyFill="1" applyBorder="1" applyAlignment="1">
      <alignment vertical="top" wrapText="1"/>
    </xf>
    <xf numFmtId="9" fontId="13" fillId="3" borderId="0" xfId="1" applyFont="1" applyFill="1" applyBorder="1" applyAlignment="1"/>
    <xf numFmtId="9" fontId="13" fillId="3" borderId="0" xfId="0" applyNumberFormat="1" applyFont="1" applyFill="1" applyAlignment="1">
      <alignment wrapText="1"/>
    </xf>
    <xf numFmtId="9" fontId="13" fillId="3" borderId="2" xfId="1" applyFont="1" applyFill="1" applyBorder="1" applyAlignment="1">
      <alignment vertical="top" wrapText="1"/>
    </xf>
    <xf numFmtId="0" fontId="17" fillId="3" borderId="38" xfId="0" applyFont="1" applyFill="1" applyBorder="1" applyAlignment="1">
      <alignment vertical="top" wrapText="1"/>
    </xf>
    <xf numFmtId="9" fontId="13" fillId="3" borderId="4" xfId="1" applyFont="1" applyFill="1" applyBorder="1" applyAlignment="1">
      <alignment vertical="top" wrapText="1"/>
    </xf>
    <xf numFmtId="0" fontId="13" fillId="3" borderId="38" xfId="0" applyFont="1" applyFill="1" applyBorder="1" applyAlignment="1">
      <alignment wrapText="1"/>
    </xf>
    <xf numFmtId="44" fontId="13" fillId="3" borderId="39" xfId="3" applyFont="1" applyFill="1" applyBorder="1" applyAlignment="1">
      <alignment wrapText="1"/>
    </xf>
    <xf numFmtId="2" fontId="13" fillId="3" borderId="6" xfId="0" applyNumberFormat="1" applyFont="1" applyFill="1" applyBorder="1" applyAlignment="1">
      <alignment vertical="top" wrapText="1"/>
    </xf>
    <xf numFmtId="9" fontId="13" fillId="3" borderId="0" xfId="1" applyFont="1" applyFill="1" applyBorder="1" applyAlignment="1">
      <alignment wrapText="1"/>
    </xf>
    <xf numFmtId="0" fontId="33" fillId="3" borderId="1" xfId="0" applyFont="1" applyFill="1" applyBorder="1" applyAlignment="1">
      <alignment vertical="center" wrapText="1"/>
    </xf>
    <xf numFmtId="0" fontId="16" fillId="2" borderId="35" xfId="0" applyFont="1" applyFill="1" applyBorder="1" applyAlignment="1">
      <alignment vertical="top" wrapText="1"/>
    </xf>
    <xf numFmtId="9" fontId="13" fillId="2" borderId="33" xfId="1" applyFont="1" applyFill="1" applyBorder="1" applyAlignment="1">
      <alignment vertical="top" wrapText="1"/>
    </xf>
    <xf numFmtId="0" fontId="40" fillId="9" borderId="0" xfId="0" applyFont="1" applyFill="1" applyAlignment="1">
      <alignment vertical="top" wrapText="1"/>
    </xf>
    <xf numFmtId="0" fontId="13" fillId="10" borderId="0" xfId="0" applyFont="1" applyFill="1" applyAlignment="1">
      <alignment vertical="top" wrapText="1"/>
    </xf>
    <xf numFmtId="0" fontId="13" fillId="10" borderId="0" xfId="0" applyFont="1" applyFill="1" applyAlignment="1">
      <alignment wrapText="1"/>
    </xf>
    <xf numFmtId="0" fontId="21" fillId="13" borderId="0" xfId="0" applyFont="1" applyFill="1" applyAlignment="1">
      <alignment vertical="top" wrapText="1"/>
    </xf>
    <xf numFmtId="0" fontId="13" fillId="13" borderId="0" xfId="0" applyFont="1" applyFill="1" applyAlignment="1">
      <alignment vertical="top" wrapText="1"/>
    </xf>
    <xf numFmtId="0" fontId="13" fillId="13" borderId="0" xfId="0" applyFont="1" applyFill="1" applyAlignment="1">
      <alignment wrapText="1"/>
    </xf>
    <xf numFmtId="0" fontId="16" fillId="2" borderId="0" xfId="0" applyFont="1" applyFill="1" applyAlignment="1">
      <alignment vertical="top"/>
    </xf>
    <xf numFmtId="0" fontId="43" fillId="9" borderId="19" xfId="0" applyFont="1" applyFill="1" applyBorder="1" applyAlignment="1">
      <alignment horizontal="center"/>
    </xf>
    <xf numFmtId="0" fontId="43" fillId="9" borderId="0" xfId="0" applyFont="1" applyFill="1" applyAlignment="1">
      <alignment horizontal="center"/>
    </xf>
    <xf numFmtId="0" fontId="43" fillId="9" borderId="0" xfId="0" applyFont="1" applyFill="1" applyAlignment="1">
      <alignment horizontal="center" wrapText="1"/>
    </xf>
    <xf numFmtId="0" fontId="43" fillId="9" borderId="20" xfId="0" applyFont="1" applyFill="1" applyBorder="1" applyAlignment="1">
      <alignment horizontal="center"/>
    </xf>
    <xf numFmtId="0" fontId="43" fillId="9" borderId="6" xfId="0" applyFont="1" applyFill="1" applyBorder="1"/>
    <xf numFmtId="0" fontId="43" fillId="9" borderId="1" xfId="0" applyFont="1" applyFill="1" applyBorder="1" applyAlignment="1">
      <alignment horizontal="center"/>
    </xf>
    <xf numFmtId="0" fontId="42" fillId="9" borderId="2" xfId="0" applyFont="1" applyFill="1" applyBorder="1" applyAlignment="1">
      <alignment horizontal="center" vertical="center" wrapText="1"/>
    </xf>
    <xf numFmtId="0" fontId="42" fillId="9" borderId="2" xfId="0" applyFont="1" applyFill="1" applyBorder="1" applyAlignment="1">
      <alignment horizontal="center" vertical="center"/>
    </xf>
    <xf numFmtId="0" fontId="41" fillId="9" borderId="2" xfId="0" applyFont="1" applyFill="1" applyBorder="1"/>
    <xf numFmtId="0" fontId="46" fillId="9" borderId="0" xfId="0" applyFont="1" applyFill="1"/>
    <xf numFmtId="165" fontId="46" fillId="9" borderId="0" xfId="0" applyNumberFormat="1" applyFont="1" applyFill="1" applyAlignment="1">
      <alignment wrapText="1"/>
    </xf>
    <xf numFmtId="0" fontId="46" fillId="9" borderId="1" xfId="0" applyFont="1" applyFill="1" applyBorder="1"/>
    <xf numFmtId="0" fontId="47" fillId="9" borderId="4" xfId="0" applyFont="1" applyFill="1" applyBorder="1" applyAlignment="1">
      <alignment vertical="center"/>
    </xf>
    <xf numFmtId="0" fontId="47" fillId="9" borderId="3" xfId="0" applyFont="1" applyFill="1" applyBorder="1" applyAlignment="1">
      <alignment horizontal="center" vertical="center" wrapText="1"/>
    </xf>
    <xf numFmtId="0" fontId="47" fillId="9" borderId="5" xfId="0" applyFont="1" applyFill="1" applyBorder="1" applyAlignment="1">
      <alignment horizontal="center" vertical="center" wrapText="1"/>
    </xf>
    <xf numFmtId="0" fontId="47" fillId="9" borderId="4" xfId="0" applyFont="1" applyFill="1" applyBorder="1" applyAlignment="1">
      <alignment horizontal="center" vertical="center" wrapText="1"/>
    </xf>
    <xf numFmtId="0" fontId="47" fillId="9" borderId="38" xfId="0" applyFont="1" applyFill="1" applyBorder="1" applyAlignment="1">
      <alignment horizontal="center" vertical="center" wrapText="1"/>
    </xf>
    <xf numFmtId="167" fontId="13" fillId="2" borderId="39" xfId="0" applyNumberFormat="1" applyFont="1" applyFill="1" applyBorder="1" applyAlignment="1">
      <alignment vertical="center"/>
    </xf>
    <xf numFmtId="167" fontId="13" fillId="2" borderId="40" xfId="0" applyNumberFormat="1" applyFont="1" applyFill="1" applyBorder="1" applyAlignment="1">
      <alignment vertical="center"/>
    </xf>
    <xf numFmtId="44" fontId="13" fillId="2" borderId="39" xfId="3" applyFont="1" applyFill="1" applyBorder="1" applyAlignment="1">
      <alignment horizontal="center" vertical="center"/>
    </xf>
    <xf numFmtId="0" fontId="48" fillId="9" borderId="3" xfId="0" applyFont="1" applyFill="1" applyBorder="1" applyAlignment="1">
      <alignment horizontal="center" vertical="center" wrapText="1"/>
    </xf>
    <xf numFmtId="0" fontId="48" fillId="9" borderId="5" xfId="0" applyFont="1" applyFill="1" applyBorder="1" applyAlignment="1">
      <alignment horizontal="left" vertical="center" wrapText="1"/>
    </xf>
    <xf numFmtId="44" fontId="13" fillId="2" borderId="6" xfId="3" applyFont="1" applyFill="1" applyBorder="1" applyAlignment="1">
      <alignment vertical="center"/>
    </xf>
    <xf numFmtId="167" fontId="13" fillId="2" borderId="6" xfId="3" applyNumberFormat="1" applyFont="1" applyFill="1" applyBorder="1" applyAlignment="1">
      <alignment vertical="center"/>
    </xf>
    <xf numFmtId="44" fontId="13" fillId="2" borderId="1" xfId="3" applyFont="1" applyFill="1" applyBorder="1" applyAlignment="1">
      <alignment vertical="center" wrapText="1"/>
    </xf>
    <xf numFmtId="167" fontId="13" fillId="2" borderId="7" xfId="3" applyNumberFormat="1" applyFont="1" applyFill="1" applyBorder="1" applyAlignment="1">
      <alignment vertical="center"/>
    </xf>
    <xf numFmtId="44" fontId="13" fillId="2" borderId="2" xfId="3" applyFont="1" applyFill="1" applyBorder="1" applyAlignment="1">
      <alignment vertical="center"/>
    </xf>
    <xf numFmtId="0" fontId="47" fillId="9" borderId="5" xfId="0" applyFont="1" applyFill="1" applyBorder="1" applyAlignment="1">
      <alignment vertical="center"/>
    </xf>
    <xf numFmtId="44" fontId="13" fillId="2" borderId="7" xfId="3" applyFont="1" applyFill="1" applyBorder="1" applyAlignment="1">
      <alignment vertical="center"/>
    </xf>
    <xf numFmtId="0" fontId="47" fillId="9" borderId="5" xfId="0" applyFont="1" applyFill="1" applyBorder="1" applyAlignment="1">
      <alignment horizontal="left" vertical="center" wrapText="1"/>
    </xf>
    <xf numFmtId="44" fontId="13" fillId="2" borderId="8" xfId="3" applyFont="1" applyFill="1" applyBorder="1" applyAlignment="1">
      <alignment vertical="center" wrapText="1"/>
    </xf>
    <xf numFmtId="44" fontId="13" fillId="2" borderId="1" xfId="3" applyFont="1" applyFill="1" applyBorder="1" applyAlignment="1">
      <alignment vertical="center"/>
    </xf>
    <xf numFmtId="44" fontId="13" fillId="2" borderId="8" xfId="3" applyFont="1" applyFill="1" applyBorder="1" applyAlignment="1">
      <alignment vertical="center"/>
    </xf>
    <xf numFmtId="0" fontId="42" fillId="9" borderId="36" xfId="0" applyFont="1" applyFill="1" applyBorder="1" applyAlignment="1">
      <alignment horizontal="center"/>
    </xf>
    <xf numFmtId="0" fontId="42" fillId="9" borderId="33" xfId="0" applyFont="1" applyFill="1" applyBorder="1" applyAlignment="1">
      <alignment horizontal="center"/>
    </xf>
    <xf numFmtId="0" fontId="42" fillId="9" borderId="36" xfId="0" applyFont="1" applyFill="1" applyBorder="1"/>
    <xf numFmtId="0" fontId="42" fillId="9" borderId="33" xfId="0" applyFont="1" applyFill="1" applyBorder="1" applyAlignment="1">
      <alignment horizontal="center" vertical="center" wrapText="1"/>
    </xf>
    <xf numFmtId="0" fontId="42" fillId="9" borderId="37" xfId="0" applyFont="1" applyFill="1" applyBorder="1"/>
    <xf numFmtId="0" fontId="42" fillId="9" borderId="36" xfId="0" applyFont="1" applyFill="1" applyBorder="1" applyAlignment="1">
      <alignment horizontal="center" vertical="center" wrapText="1"/>
    </xf>
    <xf numFmtId="0" fontId="42" fillId="9" borderId="37" xfId="0" applyFont="1" applyFill="1" applyBorder="1" applyAlignment="1">
      <alignment horizontal="center" vertical="center" wrapText="1"/>
    </xf>
    <xf numFmtId="0" fontId="42" fillId="9" borderId="37" xfId="0" applyFont="1" applyFill="1" applyBorder="1" applyAlignment="1">
      <alignment horizontal="center" vertical="center"/>
    </xf>
    <xf numFmtId="0" fontId="13" fillId="10" borderId="0" xfId="0" applyFont="1" applyFill="1"/>
    <xf numFmtId="0" fontId="42" fillId="9" borderId="0" xfId="0" applyFont="1" applyFill="1" applyAlignment="1">
      <alignment vertical="top" wrapText="1"/>
    </xf>
    <xf numFmtId="0" fontId="45" fillId="2" borderId="0" xfId="0" applyFont="1" applyFill="1" applyAlignment="1">
      <alignment vertical="top" wrapText="1"/>
    </xf>
    <xf numFmtId="0" fontId="19" fillId="2" borderId="0" xfId="0" applyFont="1" applyFill="1" applyAlignment="1">
      <alignment wrapText="1"/>
    </xf>
    <xf numFmtId="0" fontId="14" fillId="2" borderId="0" xfId="0" applyFont="1" applyFill="1"/>
    <xf numFmtId="0" fontId="17" fillId="2" borderId="35" xfId="0" applyFont="1" applyFill="1" applyBorder="1" applyAlignment="1">
      <alignment horizontal="center" vertical="center"/>
    </xf>
    <xf numFmtId="0" fontId="49" fillId="2" borderId="39" xfId="0" applyFont="1" applyFill="1" applyBorder="1" applyAlignment="1">
      <alignment vertical="center" wrapText="1"/>
    </xf>
    <xf numFmtId="0" fontId="19" fillId="2" borderId="39" xfId="0" applyFont="1" applyFill="1" applyBorder="1" applyAlignment="1">
      <alignment horizontal="center" vertical="center" wrapText="1"/>
    </xf>
    <xf numFmtId="0" fontId="13" fillId="2" borderId="40" xfId="0" applyFont="1" applyFill="1" applyBorder="1" applyAlignment="1">
      <alignment horizontal="left" vertical="center" wrapText="1"/>
    </xf>
    <xf numFmtId="0" fontId="3" fillId="2" borderId="39" xfId="0" applyFont="1" applyFill="1" applyBorder="1" applyAlignment="1">
      <alignment wrapText="1"/>
    </xf>
    <xf numFmtId="0" fontId="13" fillId="2" borderId="40" xfId="0" applyFont="1" applyFill="1" applyBorder="1" applyAlignment="1">
      <alignment horizontal="left" wrapText="1"/>
    </xf>
    <xf numFmtId="0" fontId="50" fillId="2" borderId="0" xfId="0" applyFont="1" applyFill="1" applyAlignment="1">
      <alignment horizontal="center" vertical="center" wrapText="1"/>
    </xf>
    <xf numFmtId="0" fontId="0" fillId="2" borderId="38" xfId="0" applyFill="1" applyBorder="1" applyAlignment="1">
      <alignment horizontal="left" vertical="center" wrapText="1" indent="1"/>
    </xf>
    <xf numFmtId="0" fontId="0" fillId="2" borderId="39" xfId="0" applyFill="1" applyBorder="1" applyAlignment="1">
      <alignment horizontal="left" vertical="center" wrapText="1" indent="1"/>
    </xf>
    <xf numFmtId="0" fontId="13" fillId="0" borderId="39" xfId="0" applyFont="1" applyBorder="1" applyAlignment="1">
      <alignment wrapText="1"/>
    </xf>
    <xf numFmtId="0" fontId="13" fillId="0" borderId="40" xfId="0" applyFont="1" applyBorder="1" applyAlignment="1">
      <alignment wrapText="1"/>
    </xf>
    <xf numFmtId="165" fontId="13" fillId="2" borderId="0" xfId="0" applyNumberFormat="1" applyFont="1" applyFill="1" applyAlignment="1">
      <alignment vertical="center"/>
    </xf>
    <xf numFmtId="165" fontId="13" fillId="2" borderId="0" xfId="0" applyNumberFormat="1" applyFont="1" applyFill="1" applyAlignment="1">
      <alignment horizontal="right" vertical="center"/>
    </xf>
    <xf numFmtId="0" fontId="13" fillId="2" borderId="1" xfId="0" applyFont="1" applyFill="1" applyBorder="1" applyAlignment="1">
      <alignment horizontal="right" vertical="center" wrapText="1"/>
    </xf>
    <xf numFmtId="0" fontId="0" fillId="3" borderId="0" xfId="0" applyFill="1" applyAlignment="1">
      <alignment vertical="center" wrapText="1"/>
    </xf>
    <xf numFmtId="9" fontId="13" fillId="2" borderId="0" xfId="1" applyFont="1" applyFill="1" applyBorder="1"/>
    <xf numFmtId="0" fontId="42" fillId="2" borderId="0" xfId="0" applyFont="1" applyFill="1" applyAlignment="1">
      <alignment horizontal="center" vertical="center" wrapText="1"/>
    </xf>
    <xf numFmtId="0" fontId="33" fillId="3" borderId="0" xfId="0" applyFont="1" applyFill="1" applyAlignment="1">
      <alignment vertical="center"/>
    </xf>
    <xf numFmtId="0" fontId="28" fillId="2" borderId="0" xfId="0" applyFont="1" applyFill="1" applyAlignment="1">
      <alignment horizontal="center" vertical="center" textRotation="90" wrapText="1"/>
    </xf>
    <xf numFmtId="0" fontId="26" fillId="2" borderId="0" xfId="0" applyFont="1" applyFill="1" applyAlignment="1">
      <alignment vertical="center"/>
    </xf>
    <xf numFmtId="0" fontId="0" fillId="2" borderId="0" xfId="0" applyFill="1"/>
    <xf numFmtId="0" fontId="12" fillId="10" borderId="0" xfId="0" applyFont="1" applyFill="1"/>
    <xf numFmtId="0" fontId="17" fillId="13" borderId="35" xfId="0" applyFont="1" applyFill="1" applyBorder="1" applyAlignment="1">
      <alignment horizontal="center" vertical="center"/>
    </xf>
    <xf numFmtId="0" fontId="19" fillId="13" borderId="35" xfId="0" applyFont="1" applyFill="1" applyBorder="1" applyAlignment="1">
      <alignment horizontal="center" vertical="center" wrapText="1"/>
    </xf>
    <xf numFmtId="0" fontId="20" fillId="13" borderId="35" xfId="0" applyFont="1" applyFill="1" applyBorder="1" applyAlignment="1">
      <alignment horizontal="center" vertical="center" wrapText="1"/>
    </xf>
    <xf numFmtId="0" fontId="19" fillId="13" borderId="0" xfId="0" applyFont="1" applyFill="1" applyAlignment="1">
      <alignment horizontal="center" vertical="center" wrapText="1"/>
    </xf>
    <xf numFmtId="0" fontId="17" fillId="14" borderId="35" xfId="0" applyFont="1" applyFill="1" applyBorder="1" applyAlignment="1">
      <alignment horizontal="center" vertical="center"/>
    </xf>
    <xf numFmtId="0" fontId="19" fillId="14" borderId="35" xfId="0" applyFont="1" applyFill="1" applyBorder="1" applyAlignment="1">
      <alignment horizontal="center" vertical="center"/>
    </xf>
    <xf numFmtId="0" fontId="20" fillId="14" borderId="35" xfId="0" applyFont="1" applyFill="1" applyBorder="1" applyAlignment="1">
      <alignment horizontal="center" vertical="center"/>
    </xf>
    <xf numFmtId="0" fontId="16" fillId="15" borderId="35" xfId="0" applyFont="1" applyFill="1" applyBorder="1" applyAlignment="1">
      <alignment horizontal="center" vertical="center"/>
    </xf>
    <xf numFmtId="0" fontId="19" fillId="15" borderId="35" xfId="0" applyFont="1" applyFill="1" applyBorder="1" applyAlignment="1">
      <alignment horizontal="center" vertical="center" wrapText="1"/>
    </xf>
    <xf numFmtId="0" fontId="20" fillId="15" borderId="35" xfId="0" applyFont="1" applyFill="1" applyBorder="1" applyAlignment="1">
      <alignment horizontal="center" vertical="center" wrapText="1"/>
    </xf>
    <xf numFmtId="0" fontId="49" fillId="2" borderId="39" xfId="0" applyFont="1" applyFill="1" applyBorder="1" applyAlignment="1">
      <alignment horizontal="center" vertical="center" wrapText="1"/>
    </xf>
    <xf numFmtId="0" fontId="3" fillId="2" borderId="39" xfId="0" applyFont="1" applyFill="1" applyBorder="1" applyAlignment="1">
      <alignment horizontal="center" vertical="center" wrapText="1"/>
    </xf>
    <xf numFmtId="0" fontId="51" fillId="2" borderId="35" xfId="0" applyFont="1" applyFill="1" applyBorder="1" applyAlignment="1">
      <alignment vertical="top" wrapText="1"/>
    </xf>
    <xf numFmtId="0" fontId="0" fillId="2" borderId="0" xfId="0" applyFill="1" applyAlignment="1">
      <alignment vertical="center"/>
    </xf>
    <xf numFmtId="0" fontId="19" fillId="2" borderId="24" xfId="0" applyFont="1" applyFill="1" applyBorder="1" applyAlignment="1">
      <alignment vertical="center"/>
    </xf>
    <xf numFmtId="165" fontId="26" fillId="2" borderId="0" xfId="0" applyNumberFormat="1" applyFont="1" applyFill="1" applyAlignment="1">
      <alignment horizontal="center" vertical="center"/>
    </xf>
    <xf numFmtId="0" fontId="19" fillId="2" borderId="28" xfId="0" applyFont="1" applyFill="1" applyBorder="1" applyAlignment="1">
      <alignment vertical="center"/>
    </xf>
    <xf numFmtId="0" fontId="19" fillId="12" borderId="39" xfId="0" applyFont="1" applyFill="1" applyBorder="1" applyAlignment="1">
      <alignment horizontal="center" vertical="center" wrapText="1"/>
    </xf>
    <xf numFmtId="0" fontId="20" fillId="12" borderId="39" xfId="0" applyFont="1" applyFill="1" applyBorder="1" applyAlignment="1">
      <alignment horizontal="center" vertical="center" wrapText="1"/>
    </xf>
    <xf numFmtId="0" fontId="24" fillId="12" borderId="40" xfId="0" applyFont="1" applyFill="1" applyBorder="1" applyAlignment="1">
      <alignment horizontal="center" vertical="center"/>
    </xf>
    <xf numFmtId="0" fontId="17" fillId="12" borderId="0" xfId="0" applyFont="1" applyFill="1" applyAlignment="1">
      <alignment horizontal="center" vertical="center"/>
    </xf>
    <xf numFmtId="0" fontId="19" fillId="12" borderId="0" xfId="0" applyFont="1" applyFill="1" applyAlignment="1">
      <alignment horizontal="center" vertical="center" wrapText="1"/>
    </xf>
    <xf numFmtId="0" fontId="20" fillId="12" borderId="0" xfId="0" applyFont="1" applyFill="1" applyAlignment="1">
      <alignment horizontal="center" vertical="center" wrapText="1"/>
    </xf>
    <xf numFmtId="0" fontId="24" fillId="12" borderId="0" xfId="0" applyFont="1" applyFill="1" applyAlignment="1">
      <alignment horizontal="center" vertical="center" wrapText="1"/>
    </xf>
    <xf numFmtId="0" fontId="19" fillId="12" borderId="1" xfId="0" applyFont="1" applyFill="1" applyBorder="1" applyAlignment="1">
      <alignment horizontal="center" vertical="center" wrapText="1"/>
    </xf>
    <xf numFmtId="0" fontId="20" fillId="12" borderId="1" xfId="0" applyFont="1" applyFill="1" applyBorder="1" applyAlignment="1">
      <alignment horizontal="center" vertical="center" wrapText="1"/>
    </xf>
    <xf numFmtId="0" fontId="24" fillId="12" borderId="8" xfId="0" applyFont="1" applyFill="1" applyBorder="1" applyAlignment="1">
      <alignment horizontal="center" vertical="center"/>
    </xf>
    <xf numFmtId="0" fontId="19" fillId="2" borderId="4" xfId="0" applyFont="1" applyFill="1" applyBorder="1" applyAlignment="1">
      <alignment horizontal="center" vertical="center" wrapText="1"/>
    </xf>
    <xf numFmtId="0" fontId="13" fillId="0" borderId="1" xfId="0" applyFont="1" applyBorder="1" applyAlignment="1">
      <alignment vertical="top" wrapText="1"/>
    </xf>
    <xf numFmtId="0" fontId="16" fillId="6" borderId="35" xfId="0" applyFont="1" applyFill="1" applyBorder="1" applyAlignment="1" applyProtection="1">
      <alignment horizontal="center" vertical="center" wrapText="1"/>
      <protection locked="0"/>
    </xf>
    <xf numFmtId="0" fontId="16" fillId="5" borderId="35" xfId="0" applyFont="1" applyFill="1" applyBorder="1" applyAlignment="1" applyProtection="1">
      <alignment horizontal="center" vertical="center"/>
      <protection locked="0"/>
    </xf>
    <xf numFmtId="0" fontId="16" fillId="11" borderId="35" xfId="0" applyFont="1" applyFill="1" applyBorder="1" applyAlignment="1" applyProtection="1">
      <alignment horizontal="center" vertical="center"/>
      <protection locked="0"/>
    </xf>
    <xf numFmtId="44" fontId="13" fillId="2" borderId="1" xfId="3" applyFont="1" applyFill="1" applyBorder="1" applyAlignment="1">
      <alignment horizontal="left" vertical="center"/>
    </xf>
    <xf numFmtId="44" fontId="13" fillId="2" borderId="0" xfId="0" applyNumberFormat="1" applyFont="1" applyFill="1" applyAlignment="1">
      <alignment vertical="center"/>
    </xf>
    <xf numFmtId="0" fontId="13" fillId="2" borderId="1" xfId="3" applyNumberFormat="1" applyFont="1" applyFill="1" applyBorder="1" applyAlignment="1">
      <alignment horizontal="left" vertical="center" wrapText="1"/>
    </xf>
    <xf numFmtId="0" fontId="13" fillId="2" borderId="8" xfId="0" applyFont="1" applyFill="1" applyBorder="1" applyAlignment="1">
      <alignment horizontal="left" vertical="center" wrapText="1"/>
    </xf>
    <xf numFmtId="0" fontId="13" fillId="2" borderId="0" xfId="0" applyFont="1" applyFill="1" applyAlignment="1">
      <alignment horizontal="left" vertical="center"/>
    </xf>
    <xf numFmtId="0" fontId="47" fillId="9" borderId="5" xfId="0" applyFont="1" applyFill="1" applyBorder="1" applyAlignment="1">
      <alignment horizontal="left" vertical="center"/>
    </xf>
    <xf numFmtId="0" fontId="13" fillId="2" borderId="1" xfId="0" applyFont="1" applyFill="1" applyBorder="1" applyAlignment="1">
      <alignment horizontal="left" vertical="center"/>
    </xf>
    <xf numFmtId="0" fontId="13" fillId="2" borderId="1" xfId="0" applyFont="1" applyFill="1" applyBorder="1" applyAlignment="1">
      <alignment horizontal="left" vertical="center" wrapText="1"/>
    </xf>
    <xf numFmtId="0" fontId="13" fillId="2" borderId="8" xfId="0" applyFont="1" applyFill="1" applyBorder="1" applyAlignment="1">
      <alignment vertical="center" wrapText="1"/>
    </xf>
    <xf numFmtId="0" fontId="13" fillId="2" borderId="1" xfId="0" applyFont="1" applyFill="1" applyBorder="1" applyAlignment="1">
      <alignment vertical="center"/>
    </xf>
    <xf numFmtId="0" fontId="13" fillId="2" borderId="8" xfId="0" applyFont="1" applyFill="1" applyBorder="1" applyAlignment="1">
      <alignment vertical="center"/>
    </xf>
    <xf numFmtId="44" fontId="13" fillId="2" borderId="38" xfId="3" applyFont="1" applyFill="1" applyBorder="1" applyAlignment="1">
      <alignment vertical="top" wrapText="1"/>
    </xf>
    <xf numFmtId="0" fontId="19" fillId="2" borderId="33" xfId="0" applyFont="1" applyFill="1" applyBorder="1" applyAlignment="1">
      <alignment horizontal="center" vertical="center" wrapText="1"/>
    </xf>
    <xf numFmtId="0" fontId="5" fillId="2" borderId="35" xfId="2" applyFill="1" applyBorder="1" applyAlignment="1">
      <alignment vertical="top" wrapText="1"/>
    </xf>
    <xf numFmtId="0" fontId="4" fillId="18" borderId="0" xfId="0" applyFont="1" applyFill="1"/>
    <xf numFmtId="0" fontId="2" fillId="18" borderId="0" xfId="0" applyFont="1" applyFill="1" applyAlignment="1">
      <alignment vertical="top"/>
    </xf>
    <xf numFmtId="0" fontId="2" fillId="18" borderId="0" xfId="0" applyFont="1" applyFill="1"/>
    <xf numFmtId="0" fontId="2" fillId="0" borderId="0" xfId="0" applyFont="1"/>
    <xf numFmtId="0" fontId="2" fillId="0" borderId="0" xfId="0" applyFont="1" applyAlignment="1">
      <alignment horizontal="right"/>
    </xf>
    <xf numFmtId="0" fontId="4" fillId="19" borderId="0" xfId="0" applyFont="1" applyFill="1"/>
    <xf numFmtId="0" fontId="51" fillId="0" borderId="0" xfId="0" applyFont="1"/>
    <xf numFmtId="0" fontId="54" fillId="0" borderId="0" xfId="0" applyFont="1"/>
    <xf numFmtId="0" fontId="0" fillId="2" borderId="43" xfId="0" applyFill="1" applyBorder="1"/>
    <xf numFmtId="0" fontId="0" fillId="2" borderId="44" xfId="0" applyFill="1" applyBorder="1"/>
    <xf numFmtId="0" fontId="0" fillId="2" borderId="45" xfId="0" applyFill="1" applyBorder="1"/>
    <xf numFmtId="0" fontId="0" fillId="2" borderId="42" xfId="0" applyFill="1" applyBorder="1"/>
    <xf numFmtId="0" fontId="0" fillId="2" borderId="41" xfId="0" applyFill="1" applyBorder="1"/>
    <xf numFmtId="0" fontId="0" fillId="2" borderId="46" xfId="0" applyFill="1" applyBorder="1"/>
    <xf numFmtId="0" fontId="0" fillId="2" borderId="47" xfId="0" applyFill="1" applyBorder="1"/>
    <xf numFmtId="0" fontId="0" fillId="2" borderId="48" xfId="0" applyFill="1" applyBorder="1"/>
    <xf numFmtId="0" fontId="55" fillId="2" borderId="0" xfId="0" applyFont="1" applyFill="1" applyAlignment="1">
      <alignment horizontal="center"/>
    </xf>
    <xf numFmtId="0" fontId="56" fillId="2" borderId="0" xfId="0" applyFont="1" applyFill="1" applyAlignment="1">
      <alignment horizontal="center"/>
    </xf>
    <xf numFmtId="0" fontId="0" fillId="2" borderId="0" xfId="0" applyFill="1" applyAlignment="1">
      <alignment horizontal="center" vertical="center"/>
    </xf>
    <xf numFmtId="0" fontId="55" fillId="2" borderId="0" xfId="0" applyFont="1" applyFill="1" applyAlignment="1">
      <alignment horizontal="center" vertical="center"/>
    </xf>
    <xf numFmtId="0" fontId="56" fillId="2" borderId="0" xfId="0" applyFont="1" applyFill="1" applyAlignment="1">
      <alignment horizontal="center" vertical="center"/>
    </xf>
    <xf numFmtId="0" fontId="39" fillId="10" borderId="0" xfId="0" applyFont="1" applyFill="1"/>
    <xf numFmtId="2" fontId="57" fillId="2" borderId="41" xfId="0" applyNumberFormat="1" applyFont="1" applyFill="1" applyBorder="1" applyAlignment="1">
      <alignment horizontal="center"/>
    </xf>
    <xf numFmtId="0" fontId="0" fillId="2" borderId="42" xfId="0" applyFill="1" applyBorder="1" applyAlignment="1">
      <alignment horizontal="center" vertical="center"/>
    </xf>
    <xf numFmtId="0" fontId="0" fillId="2" borderId="41" xfId="0" applyFill="1" applyBorder="1" applyAlignment="1">
      <alignment horizontal="center" vertical="center"/>
    </xf>
    <xf numFmtId="2" fontId="57" fillId="2" borderId="41" xfId="0" applyNumberFormat="1" applyFont="1" applyFill="1" applyBorder="1" applyAlignment="1">
      <alignment horizontal="center" vertical="center"/>
    </xf>
    <xf numFmtId="165" fontId="57" fillId="2" borderId="0" xfId="0" applyNumberFormat="1" applyFont="1" applyFill="1" applyAlignment="1">
      <alignment vertical="center"/>
    </xf>
    <xf numFmtId="0" fontId="19" fillId="2" borderId="0" xfId="0" applyFont="1" applyFill="1" applyAlignment="1">
      <alignment horizontal="center" vertical="top"/>
    </xf>
    <xf numFmtId="0" fontId="15" fillId="2" borderId="0" xfId="0" applyFont="1" applyFill="1" applyAlignment="1">
      <alignment horizontal="center" vertical="center" textRotation="90" wrapText="1"/>
    </xf>
    <xf numFmtId="0" fontId="15" fillId="2" borderId="0" xfId="0" applyFont="1" applyFill="1" applyAlignment="1">
      <alignment horizontal="center" vertical="center" textRotation="90"/>
    </xf>
    <xf numFmtId="0" fontId="12" fillId="10" borderId="0" xfId="0" applyFont="1" applyFill="1" applyAlignment="1">
      <alignment horizontal="left"/>
    </xf>
    <xf numFmtId="0" fontId="19" fillId="16" borderId="35" xfId="0" applyFont="1" applyFill="1" applyBorder="1" applyAlignment="1">
      <alignment horizontal="center" vertical="center" wrapText="1"/>
    </xf>
    <xf numFmtId="0" fontId="16" fillId="12" borderId="35" xfId="0" applyFont="1" applyFill="1" applyBorder="1" applyAlignment="1" applyProtection="1">
      <alignment horizontal="center" vertical="center"/>
      <protection locked="0"/>
    </xf>
    <xf numFmtId="0" fontId="20" fillId="16" borderId="35" xfId="0" applyFont="1" applyFill="1" applyBorder="1" applyAlignment="1">
      <alignment horizontal="center" vertical="center" wrapText="1"/>
    </xf>
    <xf numFmtId="0" fontId="17" fillId="12" borderId="35" xfId="0" applyFont="1" applyFill="1" applyBorder="1" applyAlignment="1">
      <alignment horizontal="center" vertical="center"/>
    </xf>
    <xf numFmtId="0" fontId="19" fillId="12" borderId="35" xfId="0" applyFont="1" applyFill="1" applyBorder="1" applyAlignment="1">
      <alignment horizontal="center" vertical="center" wrapText="1"/>
    </xf>
    <xf numFmtId="0" fontId="20" fillId="12" borderId="35" xfId="0" applyFont="1" applyFill="1" applyBorder="1" applyAlignment="1">
      <alignment horizontal="center" vertical="center" wrapText="1"/>
    </xf>
    <xf numFmtId="0" fontId="24" fillId="12" borderId="35" xfId="0" applyFont="1" applyFill="1" applyBorder="1" applyAlignment="1">
      <alignment horizontal="center" vertical="center"/>
    </xf>
    <xf numFmtId="2" fontId="23" fillId="2" borderId="0" xfId="0" applyNumberFormat="1" applyFont="1" applyFill="1" applyAlignment="1">
      <alignment horizontal="center" vertical="center"/>
    </xf>
    <xf numFmtId="165" fontId="23" fillId="2" borderId="17" xfId="0" applyNumberFormat="1" applyFont="1" applyFill="1" applyBorder="1" applyAlignment="1">
      <alignment horizontal="center" vertical="center"/>
    </xf>
    <xf numFmtId="165" fontId="23" fillId="2" borderId="0" xfId="0" applyNumberFormat="1" applyFont="1" applyFill="1" applyAlignment="1">
      <alignment horizontal="center" vertical="center"/>
    </xf>
    <xf numFmtId="0" fontId="39" fillId="2" borderId="0" xfId="0" applyFont="1" applyFill="1" applyAlignment="1">
      <alignment horizontal="center" vertical="center"/>
    </xf>
    <xf numFmtId="0" fontId="32" fillId="2" borderId="0" xfId="0" applyFont="1" applyFill="1" applyAlignment="1">
      <alignment horizontal="center" vertical="center"/>
    </xf>
    <xf numFmtId="0" fontId="12" fillId="10" borderId="0" xfId="0" applyFont="1" applyFill="1" applyAlignment="1">
      <alignment horizontal="left"/>
    </xf>
    <xf numFmtId="0" fontId="17" fillId="16" borderId="35" xfId="0" applyFont="1" applyFill="1" applyBorder="1" applyAlignment="1">
      <alignment horizontal="center" vertical="center"/>
    </xf>
    <xf numFmtId="0" fontId="19" fillId="16" borderId="35" xfId="0" applyFont="1" applyFill="1" applyBorder="1" applyAlignment="1">
      <alignment horizontal="center" vertical="center" wrapText="1"/>
    </xf>
    <xf numFmtId="0" fontId="16" fillId="12" borderId="35" xfId="0" applyFont="1" applyFill="1" applyBorder="1" applyAlignment="1" applyProtection="1">
      <alignment horizontal="center" vertical="center"/>
      <protection locked="0"/>
    </xf>
    <xf numFmtId="0" fontId="14" fillId="2" borderId="0" xfId="0" applyFont="1" applyFill="1" applyAlignment="1">
      <alignment horizontal="left" vertical="center" wrapText="1"/>
    </xf>
    <xf numFmtId="0" fontId="20" fillId="16" borderId="35" xfId="0" applyFont="1" applyFill="1" applyBorder="1" applyAlignment="1">
      <alignment horizontal="center" vertical="center" wrapText="1"/>
    </xf>
    <xf numFmtId="0" fontId="18" fillId="3" borderId="35" xfId="0" applyFont="1" applyFill="1" applyBorder="1" applyAlignment="1">
      <alignment horizontal="center" vertical="center"/>
    </xf>
    <xf numFmtId="0" fontId="19" fillId="16" borderId="36" xfId="0" applyFont="1" applyFill="1" applyBorder="1" applyAlignment="1">
      <alignment horizontal="center" vertical="center" wrapText="1"/>
    </xf>
    <xf numFmtId="0" fontId="19" fillId="16" borderId="33" xfId="0" applyFont="1" applyFill="1" applyBorder="1" applyAlignment="1">
      <alignment horizontal="center" vertical="center" wrapText="1"/>
    </xf>
    <xf numFmtId="0" fontId="19" fillId="16" borderId="37" xfId="0" applyFont="1" applyFill="1" applyBorder="1" applyAlignment="1">
      <alignment horizontal="center" vertical="center" wrapText="1"/>
    </xf>
    <xf numFmtId="0" fontId="20" fillId="16" borderId="36" xfId="0" applyFont="1" applyFill="1" applyBorder="1" applyAlignment="1">
      <alignment horizontal="center" vertical="center" wrapText="1"/>
    </xf>
    <xf numFmtId="0" fontId="20" fillId="16" borderId="33" xfId="0" applyFont="1" applyFill="1" applyBorder="1" applyAlignment="1">
      <alignment horizontal="center" vertical="center" wrapText="1"/>
    </xf>
    <xf numFmtId="0" fontId="20" fillId="16" borderId="37" xfId="0" applyFont="1" applyFill="1" applyBorder="1" applyAlignment="1">
      <alignment horizontal="center" vertical="center" wrapText="1"/>
    </xf>
    <xf numFmtId="0" fontId="15" fillId="2" borderId="0" xfId="0" applyFont="1" applyFill="1" applyAlignment="1">
      <alignment horizontal="center" vertical="center" textRotation="90" wrapText="1"/>
    </xf>
    <xf numFmtId="0" fontId="15" fillId="2" borderId="0" xfId="0" applyFont="1" applyFill="1" applyAlignment="1">
      <alignment horizontal="center" vertical="center" textRotation="90"/>
    </xf>
    <xf numFmtId="0" fontId="16" fillId="12" borderId="36" xfId="0" applyFont="1" applyFill="1" applyBorder="1" applyAlignment="1" applyProtection="1">
      <alignment horizontal="center" vertical="center" wrapText="1"/>
      <protection locked="0"/>
    </xf>
    <xf numFmtId="0" fontId="16" fillId="12" borderId="33" xfId="0" applyFont="1" applyFill="1" applyBorder="1" applyAlignment="1" applyProtection="1">
      <alignment horizontal="center" vertical="center" wrapText="1"/>
      <protection locked="0"/>
    </xf>
    <xf numFmtId="0" fontId="16" fillId="12" borderId="37" xfId="0" applyFont="1" applyFill="1" applyBorder="1" applyAlignment="1" applyProtection="1">
      <alignment horizontal="center" vertical="center" wrapText="1"/>
      <protection locked="0"/>
    </xf>
    <xf numFmtId="0" fontId="13" fillId="2" borderId="39" xfId="0" applyFont="1" applyFill="1" applyBorder="1" applyAlignment="1">
      <alignment horizontal="center" vertical="center" wrapText="1"/>
    </xf>
    <xf numFmtId="0" fontId="13" fillId="2" borderId="40" xfId="0" applyFont="1" applyFill="1" applyBorder="1" applyAlignment="1">
      <alignment horizontal="center" vertical="center" wrapText="1"/>
    </xf>
    <xf numFmtId="0" fontId="16" fillId="12" borderId="36" xfId="0" applyFont="1" applyFill="1" applyBorder="1" applyAlignment="1" applyProtection="1">
      <alignment horizontal="center" vertical="center"/>
      <protection locked="0"/>
    </xf>
    <xf numFmtId="0" fontId="16" fillId="12" borderId="37" xfId="0" applyFont="1" applyFill="1" applyBorder="1" applyAlignment="1" applyProtection="1">
      <alignment horizontal="center" vertical="center"/>
      <protection locked="0"/>
    </xf>
    <xf numFmtId="0" fontId="19" fillId="12" borderId="36" xfId="0" applyFont="1" applyFill="1" applyBorder="1" applyAlignment="1">
      <alignment horizontal="center" vertical="center" wrapText="1"/>
    </xf>
    <xf numFmtId="0" fontId="19" fillId="12" borderId="33" xfId="0" applyFont="1" applyFill="1" applyBorder="1" applyAlignment="1">
      <alignment horizontal="center" vertical="center" wrapText="1"/>
    </xf>
    <xf numFmtId="0" fontId="19" fillId="12" borderId="37" xfId="0" applyFont="1" applyFill="1" applyBorder="1" applyAlignment="1">
      <alignment horizontal="center" vertical="center" wrapText="1"/>
    </xf>
    <xf numFmtId="0" fontId="20" fillId="12" borderId="36" xfId="0" applyFont="1" applyFill="1" applyBorder="1" applyAlignment="1">
      <alignment horizontal="center" vertical="center" wrapText="1"/>
    </xf>
    <xf numFmtId="0" fontId="20" fillId="12" borderId="33" xfId="0" applyFont="1" applyFill="1" applyBorder="1" applyAlignment="1">
      <alignment horizontal="center" vertical="center" wrapText="1"/>
    </xf>
    <xf numFmtId="0" fontId="20" fillId="12" borderId="37" xfId="0" applyFont="1" applyFill="1" applyBorder="1" applyAlignment="1">
      <alignment horizontal="center" vertical="center" wrapText="1"/>
    </xf>
    <xf numFmtId="0" fontId="24" fillId="12" borderId="36" xfId="0" applyFont="1" applyFill="1" applyBorder="1" applyAlignment="1">
      <alignment horizontal="center" vertical="center" wrapText="1"/>
    </xf>
    <xf numFmtId="0" fontId="24" fillId="12" borderId="33" xfId="0" applyFont="1" applyFill="1" applyBorder="1" applyAlignment="1">
      <alignment horizontal="center" vertical="center" wrapText="1"/>
    </xf>
    <xf numFmtId="0" fontId="24" fillId="12" borderId="37" xfId="0" applyFont="1" applyFill="1" applyBorder="1" applyAlignment="1">
      <alignment horizontal="center" vertical="center" wrapText="1"/>
    </xf>
    <xf numFmtId="0" fontId="17" fillId="12" borderId="35" xfId="0" applyFont="1" applyFill="1" applyBorder="1" applyAlignment="1">
      <alignment horizontal="center" vertical="center"/>
    </xf>
    <xf numFmtId="0" fontId="24" fillId="12" borderId="36" xfId="0" applyFont="1" applyFill="1" applyBorder="1" applyAlignment="1">
      <alignment horizontal="center" vertical="center"/>
    </xf>
    <xf numFmtId="0" fontId="24" fillId="12" borderId="37" xfId="0" applyFont="1" applyFill="1" applyBorder="1" applyAlignment="1">
      <alignment horizontal="center" vertical="center"/>
    </xf>
    <xf numFmtId="0" fontId="19" fillId="12" borderId="35" xfId="0" applyFont="1" applyFill="1" applyBorder="1" applyAlignment="1">
      <alignment horizontal="center" vertical="center" wrapText="1"/>
    </xf>
    <xf numFmtId="0" fontId="20" fillId="12" borderId="35" xfId="0" applyFont="1" applyFill="1" applyBorder="1" applyAlignment="1">
      <alignment horizontal="center" vertical="center" wrapText="1"/>
    </xf>
    <xf numFmtId="0" fontId="24" fillId="12" borderId="35" xfId="0" applyFont="1" applyFill="1" applyBorder="1" applyAlignment="1">
      <alignment horizontal="center" vertical="center"/>
    </xf>
    <xf numFmtId="0" fontId="27" fillId="2" borderId="0" xfId="0" applyFont="1" applyFill="1" applyAlignment="1">
      <alignment horizontal="center" vertical="center" textRotation="90"/>
    </xf>
    <xf numFmtId="0" fontId="19" fillId="2" borderId="42" xfId="0" applyFont="1" applyFill="1" applyBorder="1" applyAlignment="1">
      <alignment horizontal="center" vertical="top" wrapText="1"/>
    </xf>
    <xf numFmtId="0" fontId="19" fillId="2" borderId="0" xfId="0" applyFont="1" applyFill="1" applyAlignment="1">
      <alignment horizontal="center" vertical="top" wrapText="1"/>
    </xf>
    <xf numFmtId="0" fontId="19" fillId="2" borderId="41" xfId="0" applyFont="1" applyFill="1" applyBorder="1" applyAlignment="1">
      <alignment horizontal="center" vertical="top" wrapText="1"/>
    </xf>
    <xf numFmtId="0" fontId="3" fillId="3" borderId="38" xfId="0" applyFont="1" applyFill="1" applyBorder="1" applyAlignment="1">
      <alignment horizontal="left" vertical="center" wrapText="1"/>
    </xf>
    <xf numFmtId="0" fontId="3" fillId="3" borderId="39" xfId="0" applyFont="1" applyFill="1" applyBorder="1" applyAlignment="1">
      <alignment horizontal="left" vertical="center" wrapText="1"/>
    </xf>
    <xf numFmtId="0" fontId="3" fillId="3" borderId="40" xfId="0" applyFont="1" applyFill="1" applyBorder="1" applyAlignment="1">
      <alignment horizontal="left" vertical="center" wrapText="1"/>
    </xf>
    <xf numFmtId="0" fontId="13" fillId="3" borderId="38" xfId="0" applyFont="1" applyFill="1" applyBorder="1" applyAlignment="1">
      <alignment horizontal="left" vertical="center" wrapText="1"/>
    </xf>
    <xf numFmtId="0" fontId="13" fillId="3" borderId="39" xfId="0" applyFont="1" applyFill="1" applyBorder="1" applyAlignment="1">
      <alignment horizontal="left" vertical="center" wrapText="1"/>
    </xf>
    <xf numFmtId="0" fontId="13" fillId="3" borderId="40" xfId="0" applyFont="1" applyFill="1" applyBorder="1" applyAlignment="1">
      <alignment horizontal="left" vertical="center" wrapText="1"/>
    </xf>
    <xf numFmtId="0" fontId="3" fillId="2" borderId="38" xfId="0" applyFont="1" applyFill="1" applyBorder="1" applyAlignment="1">
      <alignment horizontal="left" vertical="center" wrapText="1"/>
    </xf>
    <xf numFmtId="0" fontId="3" fillId="2" borderId="39" xfId="0" applyFont="1" applyFill="1" applyBorder="1" applyAlignment="1">
      <alignment horizontal="left" vertical="center" wrapText="1"/>
    </xf>
    <xf numFmtId="0" fontId="3" fillId="2" borderId="40" xfId="0" applyFont="1" applyFill="1" applyBorder="1" applyAlignment="1">
      <alignment horizontal="left" vertical="center" wrapText="1"/>
    </xf>
    <xf numFmtId="0" fontId="27" fillId="10" borderId="0" xfId="0" applyFont="1" applyFill="1" applyAlignment="1">
      <alignment horizontal="center" vertical="center" textRotation="90"/>
    </xf>
    <xf numFmtId="0" fontId="27" fillId="12" borderId="0" xfId="0" applyFont="1" applyFill="1" applyAlignment="1">
      <alignment horizontal="center" vertical="center" textRotation="90"/>
    </xf>
    <xf numFmtId="0" fontId="21" fillId="2" borderId="16" xfId="0" applyFont="1" applyFill="1" applyBorder="1" applyAlignment="1">
      <alignment horizontal="center" vertical="center"/>
    </xf>
    <xf numFmtId="0" fontId="21" fillId="2" borderId="17" xfId="0" applyFont="1" applyFill="1" applyBorder="1" applyAlignment="1">
      <alignment horizontal="center" vertical="center"/>
    </xf>
    <xf numFmtId="0" fontId="21" fillId="2" borderId="18" xfId="0" applyFont="1" applyFill="1" applyBorder="1" applyAlignment="1">
      <alignment horizontal="center" vertical="center"/>
    </xf>
    <xf numFmtId="0" fontId="29" fillId="2" borderId="0" xfId="0" applyFont="1" applyFill="1" applyAlignment="1">
      <alignment horizontal="center" vertical="center"/>
    </xf>
    <xf numFmtId="0" fontId="29" fillId="2" borderId="20" xfId="0" applyFont="1" applyFill="1" applyBorder="1" applyAlignment="1">
      <alignment horizontal="center" vertical="center"/>
    </xf>
    <xf numFmtId="0" fontId="21" fillId="2" borderId="3" xfId="0" applyFont="1" applyFill="1" applyBorder="1" applyAlignment="1">
      <alignment horizontal="center" vertical="center"/>
    </xf>
    <xf numFmtId="0" fontId="21" fillId="2" borderId="4" xfId="0" applyFont="1" applyFill="1" applyBorder="1" applyAlignment="1">
      <alignment horizontal="center" vertical="center"/>
    </xf>
    <xf numFmtId="0" fontId="21" fillId="2" borderId="5" xfId="0" applyFont="1" applyFill="1" applyBorder="1" applyAlignment="1">
      <alignment horizontal="center" vertical="center"/>
    </xf>
    <xf numFmtId="0" fontId="23" fillId="2" borderId="17" xfId="0" applyFont="1" applyFill="1" applyBorder="1" applyAlignment="1">
      <alignment horizontal="center" vertical="center"/>
    </xf>
    <xf numFmtId="0" fontId="23" fillId="2" borderId="0" xfId="0" applyFont="1" applyFill="1" applyAlignment="1">
      <alignment horizontal="center" vertical="center"/>
    </xf>
    <xf numFmtId="165" fontId="23" fillId="2" borderId="17" xfId="0" applyNumberFormat="1" applyFont="1" applyFill="1" applyBorder="1" applyAlignment="1">
      <alignment horizontal="center" vertical="center"/>
    </xf>
    <xf numFmtId="165" fontId="23" fillId="2" borderId="0" xfId="0" applyNumberFormat="1" applyFont="1" applyFill="1" applyAlignment="1">
      <alignment horizontal="center" vertical="center"/>
    </xf>
    <xf numFmtId="9" fontId="23" fillId="2" borderId="17" xfId="1" applyFont="1" applyFill="1" applyBorder="1" applyAlignment="1">
      <alignment horizontal="center" vertical="center"/>
    </xf>
    <xf numFmtId="9" fontId="23" fillId="2" borderId="0" xfId="1" applyFont="1" applyFill="1" applyBorder="1" applyAlignment="1">
      <alignment horizontal="center" vertical="center"/>
    </xf>
    <xf numFmtId="0" fontId="23" fillId="2" borderId="17" xfId="1" applyNumberFormat="1" applyFont="1" applyFill="1" applyBorder="1" applyAlignment="1">
      <alignment horizontal="center" vertical="center"/>
    </xf>
    <xf numFmtId="0" fontId="23" fillId="2" borderId="0" xfId="1" applyNumberFormat="1" applyFont="1" applyFill="1" applyBorder="1" applyAlignment="1">
      <alignment horizontal="center" vertical="center"/>
    </xf>
    <xf numFmtId="0" fontId="23" fillId="2" borderId="0" xfId="0" applyFont="1" applyFill="1" applyAlignment="1">
      <alignment horizontal="center" vertical="center" wrapText="1"/>
    </xf>
    <xf numFmtId="2" fontId="23" fillId="2" borderId="0" xfId="0" applyNumberFormat="1" applyFont="1" applyFill="1" applyAlignment="1">
      <alignment horizontal="center" vertical="center"/>
    </xf>
    <xf numFmtId="0" fontId="13" fillId="10" borderId="6" xfId="0" applyFont="1" applyFill="1" applyBorder="1" applyAlignment="1">
      <alignment horizontal="center" vertical="center" wrapText="1"/>
    </xf>
    <xf numFmtId="0" fontId="23" fillId="2" borderId="13" xfId="0" applyFont="1" applyFill="1" applyBorder="1" applyAlignment="1">
      <alignment horizontal="center" vertical="center" wrapText="1"/>
    </xf>
    <xf numFmtId="0" fontId="23" fillId="2" borderId="10" xfId="0" applyFont="1" applyFill="1" applyBorder="1" applyAlignment="1">
      <alignment horizontal="center" vertical="center" wrapText="1"/>
    </xf>
    <xf numFmtId="0" fontId="23" fillId="2" borderId="14" xfId="0" applyFont="1" applyFill="1" applyBorder="1" applyAlignment="1">
      <alignment horizontal="center" vertical="center" wrapText="1"/>
    </xf>
    <xf numFmtId="0" fontId="23" fillId="2" borderId="12" xfId="0" applyFont="1" applyFill="1" applyBorder="1" applyAlignment="1">
      <alignment horizontal="center" vertical="center" wrapText="1"/>
    </xf>
    <xf numFmtId="0" fontId="23" fillId="2" borderId="11" xfId="0" applyFont="1" applyFill="1" applyBorder="1" applyAlignment="1">
      <alignment horizontal="center" vertical="center" wrapText="1"/>
    </xf>
    <xf numFmtId="0" fontId="23" fillId="2" borderId="15" xfId="0" applyFont="1" applyFill="1" applyBorder="1" applyAlignment="1">
      <alignment horizontal="center" vertical="center" wrapText="1"/>
    </xf>
    <xf numFmtId="0" fontId="21" fillId="10" borderId="0" xfId="0" applyFont="1" applyFill="1" applyAlignment="1">
      <alignment horizontal="center" vertical="center" textRotation="90"/>
    </xf>
    <xf numFmtId="0" fontId="36" fillId="12" borderId="0" xfId="0" applyFont="1" applyFill="1" applyAlignment="1">
      <alignment horizontal="center" vertical="center" textRotation="90"/>
    </xf>
    <xf numFmtId="0" fontId="13" fillId="12" borderId="6" xfId="0" applyFont="1" applyFill="1" applyBorder="1" applyAlignment="1">
      <alignment horizontal="center" vertical="center" wrapText="1"/>
    </xf>
    <xf numFmtId="168" fontId="4" fillId="0" borderId="0" xfId="0" applyNumberFormat="1" applyFont="1" applyAlignment="1">
      <alignment vertical="center" wrapText="1"/>
    </xf>
    <xf numFmtId="0" fontId="2" fillId="17" borderId="0" xfId="0" applyFont="1" applyFill="1" applyAlignment="1">
      <alignment vertical="center"/>
    </xf>
    <xf numFmtId="0" fontId="28" fillId="10" borderId="0" xfId="0" applyFont="1" applyFill="1" applyAlignment="1">
      <alignment horizontal="center" vertical="center" textRotation="90"/>
    </xf>
    <xf numFmtId="0" fontId="13" fillId="10" borderId="0" xfId="0" applyFont="1" applyFill="1" applyAlignment="1">
      <alignment horizontal="center" vertical="center" textRotation="90"/>
    </xf>
    <xf numFmtId="0" fontId="28" fillId="12" borderId="0" xfId="0" applyFont="1" applyFill="1" applyAlignment="1">
      <alignment horizontal="center" vertical="center" textRotation="90"/>
    </xf>
    <xf numFmtId="0" fontId="29" fillId="2" borderId="38" xfId="0" applyFont="1" applyFill="1" applyBorder="1" applyAlignment="1">
      <alignment horizontal="center" vertical="center" textRotation="90" wrapText="1"/>
    </xf>
    <xf numFmtId="0" fontId="29" fillId="2" borderId="39" xfId="0" applyFont="1" applyFill="1" applyBorder="1" applyAlignment="1">
      <alignment horizontal="center" vertical="center" textRotation="90" wrapText="1"/>
    </xf>
    <xf numFmtId="0" fontId="29" fillId="2" borderId="40" xfId="0" applyFont="1" applyFill="1" applyBorder="1" applyAlignment="1">
      <alignment horizontal="center" vertical="center" textRotation="90" wrapText="1"/>
    </xf>
    <xf numFmtId="0" fontId="47" fillId="9" borderId="4" xfId="0" applyFont="1" applyFill="1" applyBorder="1" applyAlignment="1">
      <alignment horizontal="center" vertical="center"/>
    </xf>
    <xf numFmtId="0" fontId="47" fillId="9" borderId="5" xfId="0" applyFont="1" applyFill="1" applyBorder="1" applyAlignment="1">
      <alignment horizontal="center" vertical="center"/>
    </xf>
    <xf numFmtId="0" fontId="32" fillId="2" borderId="2" xfId="0" applyFont="1" applyFill="1" applyBorder="1" applyAlignment="1">
      <alignment horizontal="center" vertical="center"/>
    </xf>
    <xf numFmtId="0" fontId="32" fillId="2" borderId="0" xfId="0" applyFont="1" applyFill="1" applyAlignment="1">
      <alignment horizontal="center" vertical="center"/>
    </xf>
    <xf numFmtId="0" fontId="39" fillId="2" borderId="0" xfId="0" applyFont="1" applyFill="1" applyAlignment="1">
      <alignment horizontal="center" vertical="center"/>
    </xf>
  </cellXfs>
  <cellStyles count="8">
    <cellStyle name="Excel Built-in Normal" xfId="6" xr:uid="{995B1560-08D4-44FF-8C6D-FC8A0C238558}"/>
    <cellStyle name="Komma 2" xfId="7" xr:uid="{235777A9-C6DA-42FB-9E00-BAF3BBA67C98}"/>
    <cellStyle name="Link" xfId="2" builtinId="8"/>
    <cellStyle name="Normal" xfId="0" builtinId="0"/>
    <cellStyle name="Normal 2" xfId="4" xr:uid="{0CC08BE7-135F-4A84-A8BB-B7EE4D054613}"/>
    <cellStyle name="Normal 3" xfId="5" xr:uid="{44C64B00-7676-4644-8679-DD7CE8E2C6D5}"/>
    <cellStyle name="Procent" xfId="1" builtinId="5"/>
    <cellStyle name="Valuta" xfId="3" builtinId="4"/>
  </cellStyles>
  <dxfs count="64">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theme="8" tint="-0.24994659260841701"/>
      </font>
      <fill>
        <patternFill>
          <bgColor theme="8" tint="0.79998168889431442"/>
        </patternFill>
      </fill>
    </dxf>
    <dxf>
      <font>
        <color rgb="FF9C5700"/>
      </font>
      <fill>
        <patternFill>
          <bgColor rgb="FFFFEB9C"/>
        </patternFill>
      </fill>
    </dxf>
    <dxf>
      <font>
        <color rgb="FF006100"/>
      </font>
      <fill>
        <patternFill>
          <bgColor rgb="FFC6EFCE"/>
        </patternFill>
      </fill>
    </dxf>
    <dxf>
      <font>
        <color theme="8" tint="-0.24994659260841701"/>
      </font>
      <fill>
        <patternFill>
          <bgColor theme="8" tint="0.79998168889431442"/>
        </patternFill>
      </fill>
    </dxf>
    <dxf>
      <font>
        <color rgb="FF9C5700"/>
      </font>
      <fill>
        <patternFill>
          <bgColor rgb="FFFFEB9C"/>
        </patternFill>
      </fill>
    </dxf>
    <dxf>
      <font>
        <color rgb="FF006100"/>
      </font>
      <fill>
        <patternFill>
          <bgColor rgb="FFC6EFCE"/>
        </patternFill>
      </fill>
    </dxf>
    <dxf>
      <font>
        <color theme="8" tint="-0.24994659260841701"/>
      </font>
      <fill>
        <patternFill>
          <bgColor theme="8" tint="0.79998168889431442"/>
        </patternFill>
      </fill>
    </dxf>
    <dxf>
      <font>
        <color rgb="FF9C5700"/>
      </font>
      <fill>
        <patternFill>
          <bgColor rgb="FFFFEB9C"/>
        </patternFill>
      </fill>
    </dxf>
    <dxf>
      <font>
        <color rgb="FF006100"/>
      </font>
      <fill>
        <patternFill>
          <bgColor rgb="FFC6EFCE"/>
        </patternFill>
      </fill>
    </dxf>
    <dxf>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ill>
        <patternFill>
          <bgColor rgb="FFFFC7CE"/>
        </patternFill>
      </fill>
    </dxf>
    <dxf>
      <font>
        <color rgb="FFC00000"/>
      </font>
      <fill>
        <patternFill>
          <bgColor rgb="FFFFCCCC"/>
        </patternFill>
      </fill>
    </dxf>
    <dxf>
      <font>
        <color rgb="FFC00000"/>
      </font>
      <fill>
        <patternFill>
          <bgColor rgb="FFFFCCCC"/>
        </patternFill>
      </fill>
    </dxf>
    <dxf>
      <font>
        <color rgb="FFC00000"/>
      </font>
      <fill>
        <patternFill>
          <bgColor rgb="FFFFCCC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theme="8" tint="-0.24994659260841701"/>
      </font>
      <fill>
        <patternFill>
          <bgColor theme="8" tint="0.79998168889431442"/>
        </patternFill>
      </fill>
    </dxf>
    <dxf>
      <font>
        <color rgb="FF9C5700"/>
      </font>
      <fill>
        <patternFill>
          <bgColor rgb="FFFFEB9C"/>
        </patternFill>
      </fill>
    </dxf>
    <dxf>
      <font>
        <color rgb="FF006100"/>
      </font>
      <fill>
        <patternFill>
          <bgColor rgb="FFC6EFCE"/>
        </patternFill>
      </fill>
    </dxf>
    <dxf>
      <font>
        <color theme="8" tint="-0.24994659260841701"/>
      </font>
      <fill>
        <patternFill>
          <bgColor theme="8" tint="0.79998168889431442"/>
        </patternFill>
      </fill>
    </dxf>
    <dxf>
      <font>
        <color theme="8" tint="-0.24994659260841701"/>
      </font>
      <fill>
        <patternFill>
          <bgColor theme="8" tint="0.79998168889431442"/>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theme="8" tint="-0.24994659260841701"/>
      </font>
      <fill>
        <patternFill>
          <bgColor theme="8" tint="0.79998168889431442"/>
        </patternFill>
      </fill>
    </dxf>
    <dxf>
      <font>
        <color rgb="FF006100"/>
      </font>
      <fill>
        <patternFill>
          <bgColor rgb="FFC6EFCE"/>
        </patternFill>
      </fill>
    </dxf>
    <dxf>
      <font>
        <color rgb="FF9C5700"/>
      </font>
      <fill>
        <patternFill>
          <bgColor rgb="FFFFEB9C"/>
        </patternFill>
      </fill>
    </dxf>
    <dxf>
      <font>
        <color theme="8" tint="-0.24994659260841701"/>
      </font>
      <fill>
        <patternFill>
          <bgColor theme="8" tint="0.79998168889431442"/>
        </patternFill>
      </fill>
    </dxf>
    <dxf>
      <fill>
        <patternFill>
          <bgColor rgb="FFFFC7CE"/>
        </patternFill>
      </fill>
    </dxf>
    <dxf>
      <font>
        <color rgb="FF006100"/>
      </font>
      <fill>
        <patternFill>
          <bgColor rgb="FFC6EFCE"/>
        </patternFill>
      </fill>
    </dxf>
    <dxf>
      <font>
        <color rgb="FF9C5700"/>
      </font>
      <fill>
        <patternFill>
          <bgColor rgb="FFFFEB9C"/>
        </patternFill>
      </fill>
    </dxf>
  </dxfs>
  <tableStyles count="0" defaultTableStyle="TableStyleMedium2" defaultPivotStyle="PivotStyleLight16"/>
  <colors>
    <mruColors>
      <color rgb="FFFFCCCC"/>
      <color rgb="FFC06000"/>
      <color rgb="FFFDD5DC"/>
      <color rgb="FFFEDDC8"/>
      <color rgb="FFB4C6E7"/>
      <color rgb="FFF1F7ED"/>
      <color rgb="FFFFF6DD"/>
      <color rgb="FFEFF6FB"/>
      <color rgb="FFFFEDB8"/>
      <color rgb="FFDDEB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externalLink" Target="externalLinks/externalLink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2.xml.rels><?xml version="1.0" encoding="UTF-8" standalone="yes"?>
<Relationships xmlns="http://schemas.openxmlformats.org/package/2006/relationships"><Relationship Id="rId8" Type="http://schemas.openxmlformats.org/officeDocument/2006/relationships/image" Target="../media/image7.png"/><Relationship Id="rId3" Type="http://schemas.openxmlformats.org/officeDocument/2006/relationships/image" Target="../media/image2.png"/><Relationship Id="rId7" Type="http://schemas.openxmlformats.org/officeDocument/2006/relationships/image" Target="../media/image6.png"/><Relationship Id="rId2" Type="http://schemas.microsoft.com/office/2007/relationships/hdphoto" Target="../media/hdphoto1.wdp"/><Relationship Id="rId1" Type="http://schemas.openxmlformats.org/officeDocument/2006/relationships/image" Target="../media/image1.png"/><Relationship Id="rId6" Type="http://schemas.openxmlformats.org/officeDocument/2006/relationships/image" Target="../media/image5.png"/><Relationship Id="rId5" Type="http://schemas.openxmlformats.org/officeDocument/2006/relationships/image" Target="../media/image4.png"/><Relationship Id="rId4"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xdr:from>
      <xdr:col>0</xdr:col>
      <xdr:colOff>9525</xdr:colOff>
      <xdr:row>1</xdr:row>
      <xdr:rowOff>47625</xdr:rowOff>
    </xdr:from>
    <xdr:to>
      <xdr:col>14</xdr:col>
      <xdr:colOff>361950</xdr:colOff>
      <xdr:row>39</xdr:row>
      <xdr:rowOff>22777</xdr:rowOff>
    </xdr:to>
    <xdr:sp macro="" textlink="">
      <xdr:nvSpPr>
        <xdr:cNvPr id="2" name="Tekstfelt 1">
          <a:extLst>
            <a:ext uri="{FF2B5EF4-FFF2-40B4-BE49-F238E27FC236}">
              <a16:creationId xmlns:a16="http://schemas.microsoft.com/office/drawing/2014/main" id="{8662D0F9-1500-4B66-A058-F4E37D9C314B}"/>
            </a:ext>
          </a:extLst>
        </xdr:cNvPr>
        <xdr:cNvSpPr txBox="1"/>
      </xdr:nvSpPr>
      <xdr:spPr>
        <a:xfrm>
          <a:off x="9525" y="495300"/>
          <a:ext cx="8886825" cy="72141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000" b="1">
              <a:solidFill>
                <a:schemeClr val="dk1"/>
              </a:solidFill>
              <a:effectLst/>
              <a:latin typeface="Century Gothic" panose="020B0502020202020204" pitchFamily="34" charset="0"/>
              <a:ea typeface="+mn-ea"/>
              <a:cs typeface="+mn-cs"/>
            </a:rPr>
            <a:t>Introduktion til</a:t>
          </a:r>
          <a:r>
            <a:rPr lang="da-DK" sz="1000" b="1" baseline="0">
              <a:solidFill>
                <a:schemeClr val="dk1"/>
              </a:solidFill>
              <a:effectLst/>
              <a:latin typeface="Century Gothic" panose="020B0502020202020204" pitchFamily="34" charset="0"/>
              <a:ea typeface="+mn-ea"/>
              <a:cs typeface="+mn-cs"/>
            </a:rPr>
            <a:t> "Værktøj til Materialescreening" </a:t>
          </a:r>
          <a:br>
            <a:rPr lang="da-DK" sz="1000" b="1" baseline="0">
              <a:solidFill>
                <a:schemeClr val="dk1"/>
              </a:solidFill>
              <a:effectLst/>
              <a:latin typeface="Century Gothic" panose="020B0502020202020204" pitchFamily="34" charset="0"/>
              <a:ea typeface="+mn-ea"/>
              <a:cs typeface="+mn-cs"/>
            </a:rPr>
          </a:br>
          <a:r>
            <a:rPr lang="en-GB" sz="1000">
              <a:solidFill>
                <a:schemeClr val="dk1"/>
              </a:solidFill>
              <a:effectLst/>
              <a:latin typeface="Century Gothic" panose="020B0502020202020204" pitchFamily="34" charset="0"/>
              <a:ea typeface="+mn-ea"/>
              <a:cs typeface="+mn-cs"/>
            </a:rPr>
            <a:t>Dette værktøj er udviklet af Lendager Group for Teknik- og Miljøforvaltningens afdeling for bygningsrenoveringer. </a:t>
          </a:r>
        </a:p>
        <a:p>
          <a:endParaRPr lang="da-DK" sz="1000" b="0">
            <a:solidFill>
              <a:schemeClr val="dk1"/>
            </a:solidFill>
            <a:effectLst/>
            <a:latin typeface="Century Gothic" panose="020B0502020202020204" pitchFamily="34" charset="0"/>
            <a:ea typeface="+mn-ea"/>
            <a:cs typeface="+mn-cs"/>
          </a:endParaRPr>
        </a:p>
        <a:p>
          <a:r>
            <a:rPr lang="da-DK" sz="1000" b="1">
              <a:solidFill>
                <a:schemeClr val="dk1"/>
              </a:solidFill>
              <a:effectLst/>
              <a:latin typeface="Century Gothic" panose="020B0502020202020204" pitchFamily="34" charset="0"/>
              <a:ea typeface="+mn-ea"/>
              <a:cs typeface="+mn-cs"/>
            </a:rPr>
            <a:t>Formål med værktøjet:</a:t>
          </a:r>
          <a:endParaRPr lang="en-DK" sz="1000" b="1">
            <a:solidFill>
              <a:schemeClr val="dk1"/>
            </a:solidFill>
            <a:effectLst/>
            <a:latin typeface="Century Gothic" panose="020B0502020202020204" pitchFamily="34" charset="0"/>
            <a:ea typeface="+mn-ea"/>
            <a:cs typeface="+mn-cs"/>
          </a:endParaRPr>
        </a:p>
        <a:p>
          <a:r>
            <a:rPr lang="da-DK" sz="1000">
              <a:solidFill>
                <a:schemeClr val="dk1"/>
              </a:solidFill>
              <a:effectLst/>
              <a:latin typeface="Century Gothic" panose="020B0502020202020204" pitchFamily="34" charset="0"/>
              <a:ea typeface="+mn-ea"/>
              <a:cs typeface="+mn-cs"/>
            </a:rPr>
            <a:t>Formålet med værktøjet er at screene materialer for cirkulering ved bygningsrenoveringer. På baggrund af screeningen anbefales den optimale metode til cirkulering af materialerne 1)</a:t>
          </a:r>
          <a:r>
            <a:rPr lang="da-DK" sz="1000" baseline="0">
              <a:solidFill>
                <a:schemeClr val="dk1"/>
              </a:solidFill>
              <a:effectLst/>
              <a:latin typeface="Century Gothic" panose="020B0502020202020204" pitchFamily="34" charset="0"/>
              <a:ea typeface="+mn-ea"/>
              <a:cs typeface="+mn-cs"/>
            </a:rPr>
            <a:t> tegl, 2) vinduer og 3) mursten</a:t>
          </a:r>
          <a:r>
            <a:rPr lang="da-DK" sz="1000">
              <a:solidFill>
                <a:schemeClr val="dk1"/>
              </a:solidFill>
              <a:effectLst/>
              <a:latin typeface="Century Gothic" panose="020B0502020202020204" pitchFamily="34" charset="0"/>
              <a:ea typeface="+mn-ea"/>
              <a:cs typeface="+mn-cs"/>
            </a:rPr>
            <a:t>. </a:t>
          </a:r>
          <a:br>
            <a:rPr lang="da-DK" sz="1000">
              <a:solidFill>
                <a:schemeClr val="dk1"/>
              </a:solidFill>
              <a:effectLst/>
              <a:latin typeface="Century Gothic" panose="020B0502020202020204" pitchFamily="34" charset="0"/>
              <a:ea typeface="+mn-ea"/>
              <a:cs typeface="+mn-cs"/>
            </a:rPr>
          </a:br>
          <a:br>
            <a:rPr lang="da-DK" sz="1000">
              <a:solidFill>
                <a:schemeClr val="dk1"/>
              </a:solidFill>
              <a:effectLst/>
              <a:latin typeface="Century Gothic" panose="020B0502020202020204" pitchFamily="34" charset="0"/>
              <a:ea typeface="+mn-ea"/>
              <a:cs typeface="+mn-cs"/>
            </a:rPr>
          </a:br>
          <a:r>
            <a:rPr lang="da-DK" sz="1000">
              <a:solidFill>
                <a:schemeClr val="dk1"/>
              </a:solidFill>
              <a:effectLst/>
              <a:latin typeface="Century Gothic" panose="020B0502020202020204" pitchFamily="34" charset="0"/>
              <a:ea typeface="+mn-ea"/>
              <a:cs typeface="+mn-cs"/>
            </a:rPr>
            <a:t>Værktøjet er programmeret til at pege på det cirkuleringsgreb, der muliggør den største CO2-mæssige besparelse i projektet. Dette er som oftest ved direkte genbrug af materialerne, da denne proces kræver minimal tilførsel af jomfruelige materialer samt energitilførsel. Værktøjet vurderer derfor på baggrund af en række parametre, hvorvidt det er muligt at genbruge materialerne eller ej. Er direkte genbrug ikke muligt, foreslås en alternativ genanvendelsesform, som enten kan betragtes som upcycling eller downcycling, afhængigt af, hvilken værdi materialet anvendes til i sin nye funktion.  </a:t>
          </a:r>
        </a:p>
        <a:p>
          <a:endParaRPr lang="da-DK" sz="1000">
            <a:solidFill>
              <a:schemeClr val="dk1"/>
            </a:solidFill>
            <a:effectLst/>
            <a:latin typeface="Century Gothic" panose="020B0502020202020204" pitchFamily="34" charset="0"/>
            <a:ea typeface="+mn-ea"/>
            <a:cs typeface="+mn-cs"/>
          </a:endParaRPr>
        </a:p>
        <a:p>
          <a:r>
            <a:rPr lang="da-DK" sz="1000" b="1">
              <a:solidFill>
                <a:schemeClr val="dk1"/>
              </a:solidFill>
              <a:effectLst/>
              <a:latin typeface="Century Gothic" panose="020B0502020202020204" pitchFamily="34" charset="0"/>
              <a:ea typeface="+mn-ea"/>
              <a:cs typeface="+mn-cs"/>
            </a:rPr>
            <a:t>Hvornår skal jeg anvende værktøjet?</a:t>
          </a:r>
        </a:p>
        <a:p>
          <a:r>
            <a:rPr lang="da-DK" sz="1000">
              <a:solidFill>
                <a:schemeClr val="dk1"/>
              </a:solidFill>
              <a:effectLst/>
              <a:latin typeface="Century Gothic" panose="020B0502020202020204" pitchFamily="34" charset="0"/>
              <a:ea typeface="+mn-ea"/>
              <a:cs typeface="+mn-cs"/>
            </a:rPr>
            <a:t>Screeningsværktøjet er udviklet til projektledere og nøglepersonale i TMF, og skal bruges, når besigtigelser af bygninger gennemføres. Dette så tidligt i renoveringsfasen som muligt, så resultater kan forme beslutninger og udbudsmateriale i de kommende faser. Du kan læse mere om, hvornår screeningsværktøjet skal i brug, i Teknik- og Miljøforvaltningens "Værktøj til implementering af cirkulær økonomi i renoveringsprojekter". </a:t>
          </a:r>
        </a:p>
        <a:p>
          <a:endParaRPr lang="da-DK" sz="1000">
            <a:solidFill>
              <a:schemeClr val="dk1"/>
            </a:solidFill>
            <a:effectLst/>
            <a:latin typeface="Century Gothic" panose="020B0502020202020204" pitchFamily="34" charset="0"/>
            <a:ea typeface="+mn-ea"/>
            <a:cs typeface="+mn-cs"/>
          </a:endParaRPr>
        </a:p>
        <a:p>
          <a:r>
            <a:rPr lang="da-DK" sz="1000" b="1">
              <a:solidFill>
                <a:schemeClr val="dk1"/>
              </a:solidFill>
              <a:effectLst/>
              <a:latin typeface="Century Gothic" panose="020B0502020202020204" pitchFamily="34" charset="0"/>
              <a:ea typeface="+mn-ea"/>
              <a:cs typeface="+mn-cs"/>
            </a:rPr>
            <a:t>Hvordan bruger jeg værktøjet?</a:t>
          </a:r>
        </a:p>
        <a:p>
          <a:endParaRPr lang="da-DK" sz="1000">
            <a:solidFill>
              <a:schemeClr val="dk1"/>
            </a:solidFill>
            <a:effectLst/>
            <a:latin typeface="Century Gothic" panose="020B0502020202020204" pitchFamily="34" charset="0"/>
            <a:ea typeface="+mn-ea"/>
            <a:cs typeface="+mn-cs"/>
          </a:endParaRPr>
        </a:p>
        <a:p>
          <a:r>
            <a:rPr lang="da-DK" sz="1000">
              <a:solidFill>
                <a:schemeClr val="dk1"/>
              </a:solidFill>
              <a:effectLst/>
              <a:latin typeface="Century Gothic" panose="020B0502020202020204" pitchFamily="34" charset="0"/>
              <a:ea typeface="+mn-ea"/>
              <a:cs typeface="+mn-cs"/>
            </a:rPr>
            <a:t>Værktøjet er delt op i 3 ark. Her følger en kort introduktion til de enkelte arks virke og betydning. </a:t>
          </a:r>
        </a:p>
        <a:p>
          <a:pPr lvl="1"/>
          <a:br>
            <a:rPr lang="da-DK" sz="1000" b="1">
              <a:solidFill>
                <a:schemeClr val="dk1"/>
              </a:solidFill>
              <a:effectLst/>
              <a:latin typeface="Century Gothic" panose="020B0502020202020204" pitchFamily="34" charset="0"/>
              <a:ea typeface="+mn-ea"/>
              <a:cs typeface="+mn-cs"/>
            </a:rPr>
          </a:br>
          <a:r>
            <a:rPr lang="da-DK" sz="1000" b="1">
              <a:solidFill>
                <a:schemeClr val="dk1"/>
              </a:solidFill>
              <a:effectLst/>
              <a:latin typeface="Century Gothic" panose="020B0502020202020204" pitchFamily="34" charset="0"/>
              <a:ea typeface="+mn-ea"/>
              <a:cs typeface="+mn-cs"/>
            </a:rPr>
            <a:t>ARK 1 - INPUT: </a:t>
          </a:r>
        </a:p>
        <a:p>
          <a:pPr lvl="1"/>
          <a:r>
            <a:rPr lang="da-DK" sz="1000">
              <a:solidFill>
                <a:schemeClr val="dk1"/>
              </a:solidFill>
              <a:effectLst/>
              <a:latin typeface="Century Gothic" panose="020B0502020202020204" pitchFamily="34" charset="0"/>
              <a:ea typeface="+mn-ea"/>
              <a:cs typeface="+mn-cs"/>
            </a:rPr>
            <a:t>Før du kan bruge værktøjet, må du vide noget om de materialer, du ønsker at screene. Dette indebærer viden om mængder, alder og en lang række tekniske specifikationer gældende for det enkelte materiale. Oplysningerne i "input" skal tastes ind som angivet under hvert spørgsmål. </a:t>
          </a:r>
          <a:br>
            <a:rPr lang="da-DK" sz="1000">
              <a:solidFill>
                <a:schemeClr val="dk1"/>
              </a:solidFill>
              <a:effectLst/>
              <a:latin typeface="Century Gothic" panose="020B0502020202020204" pitchFamily="34" charset="0"/>
              <a:ea typeface="+mn-ea"/>
              <a:cs typeface="+mn-cs"/>
            </a:rPr>
          </a:br>
          <a:br>
            <a:rPr lang="da-DK" sz="1000">
              <a:solidFill>
                <a:schemeClr val="dk1"/>
              </a:solidFill>
              <a:effectLst/>
              <a:latin typeface="Century Gothic" panose="020B0502020202020204" pitchFamily="34" charset="0"/>
              <a:ea typeface="+mn-ea"/>
              <a:cs typeface="+mn-cs"/>
            </a:rPr>
          </a:br>
          <a:r>
            <a:rPr lang="da-DK" sz="1000" b="1">
              <a:solidFill>
                <a:schemeClr val="dk1"/>
              </a:solidFill>
              <a:effectLst/>
              <a:latin typeface="Century Gothic" panose="020B0502020202020204" pitchFamily="34" charset="0"/>
              <a:ea typeface="+mn-ea"/>
              <a:cs typeface="+mn-cs"/>
            </a:rPr>
            <a:t>ARK 2 - OUTPUT: </a:t>
          </a:r>
          <a:br>
            <a:rPr lang="da-DK" sz="1000">
              <a:solidFill>
                <a:schemeClr val="dk1"/>
              </a:solidFill>
              <a:effectLst/>
              <a:latin typeface="Century Gothic" panose="020B0502020202020204" pitchFamily="34" charset="0"/>
              <a:ea typeface="+mn-ea"/>
              <a:cs typeface="+mn-cs"/>
            </a:rPr>
          </a:br>
          <a:r>
            <a:rPr lang="da-DK" sz="1000">
              <a:solidFill>
                <a:schemeClr val="dk1"/>
              </a:solidFill>
              <a:effectLst/>
              <a:latin typeface="Century Gothic" panose="020B0502020202020204" pitchFamily="34" charset="0"/>
              <a:ea typeface="+mn-ea"/>
              <a:cs typeface="+mn-cs"/>
            </a:rPr>
            <a:t>I ”output” får du anvist, hvilket cirkuleringsgreb, der er mest hensigtsmæssigt for dit materiale på baggrund af de data, du har oplyst. Desuden får du også indsigt i en lang række andre brugbare informationer om materialet så som indlejret CO2, forudsætninger for at materialet kan cirkuleres, potentiel CO2-besparelse hvis materialer cirkuleres, potentielle output mængder, nedrivningsomkostninger mm. </a:t>
          </a:r>
        </a:p>
        <a:p>
          <a:pPr lvl="1"/>
          <a:endParaRPr lang="da-DK" sz="1000">
            <a:solidFill>
              <a:schemeClr val="dk1"/>
            </a:solidFill>
            <a:effectLst/>
            <a:latin typeface="Century Gothic" panose="020B0502020202020204" pitchFamily="34" charset="0"/>
            <a:ea typeface="+mn-ea"/>
            <a:cs typeface="+mn-cs"/>
          </a:endParaRPr>
        </a:p>
        <a:p>
          <a:pPr lvl="1"/>
          <a:r>
            <a:rPr lang="da-DK" sz="1000" b="1">
              <a:solidFill>
                <a:schemeClr val="dk1"/>
              </a:solidFill>
              <a:effectLst/>
              <a:latin typeface="Century Gothic" panose="020B0502020202020204" pitchFamily="34" charset="0"/>
              <a:ea typeface="+mn-ea"/>
              <a:cs typeface="+mn-cs"/>
            </a:rPr>
            <a:t>ARK 3 - KOMMUNIKATION: </a:t>
          </a:r>
        </a:p>
        <a:p>
          <a:pPr lvl="1"/>
          <a:r>
            <a:rPr lang="da-DK" sz="1000">
              <a:solidFill>
                <a:schemeClr val="dk1"/>
              </a:solidFill>
              <a:effectLst/>
              <a:latin typeface="Century Gothic" panose="020B0502020202020204" pitchFamily="34" charset="0"/>
              <a:ea typeface="+mn-ea"/>
              <a:cs typeface="+mn-cs"/>
            </a:rPr>
            <a:t>På det sidste ark i screeningsvæktøjet oversættes konklusioner om CO2-besparelser, affaldsminimering og reduktoin af jomfruelige materialer til let forståelige referencer, der med rette kan bruges til kommunikation med stakeholders så som politiske organer, beboere, rådgivere og entreprenører. Tallene sammenlignes med danskernes årlige CO2-udledning, affaldsproduktion og materieleforbrug i en "referencebolig". </a:t>
          </a:r>
        </a:p>
        <a:p>
          <a:pPr lvl="1"/>
          <a:endParaRPr lang="da-DK" sz="1000">
            <a:solidFill>
              <a:schemeClr val="dk1"/>
            </a:solidFill>
            <a:effectLst/>
            <a:latin typeface="Century Gothic" panose="020B0502020202020204" pitchFamily="34" charset="0"/>
            <a:ea typeface="+mn-ea"/>
            <a:cs typeface="+mn-cs"/>
          </a:endParaRPr>
        </a:p>
        <a:p>
          <a:endParaRPr lang="da-DK" sz="1000">
            <a:solidFill>
              <a:schemeClr val="dk1"/>
            </a:solidFill>
            <a:effectLst/>
            <a:latin typeface="Century Gothic" panose="020B0502020202020204" pitchFamily="34" charset="0"/>
            <a:ea typeface="+mn-ea"/>
            <a:cs typeface="+mn-cs"/>
          </a:endParaRPr>
        </a:p>
        <a:p>
          <a:pPr lvl="1"/>
          <a:endParaRPr lang="en-DK" sz="1000">
            <a:solidFill>
              <a:schemeClr val="dk1"/>
            </a:solidFill>
            <a:effectLst/>
            <a:latin typeface="Century Gothic" panose="020B0502020202020204" pitchFamily="34" charset="0"/>
            <a:ea typeface="+mn-ea"/>
            <a:cs typeface="+mn-cs"/>
          </a:endParaRPr>
        </a:p>
        <a:p>
          <a:endParaRPr lang="da-DK" sz="1000">
            <a:solidFill>
              <a:schemeClr val="dk1"/>
            </a:solidFill>
            <a:effectLst/>
            <a:latin typeface="Century Gothic" panose="020B0502020202020204" pitchFamily="34" charset="0"/>
            <a:ea typeface="+mn-ea"/>
            <a:cs typeface="+mn-cs"/>
          </a:endParaRPr>
        </a:p>
        <a:p>
          <a:endParaRPr lang="en-DK" sz="1000">
            <a:solidFill>
              <a:schemeClr val="dk1"/>
            </a:solidFill>
            <a:effectLst/>
            <a:latin typeface="Century Gothic" panose="020B0502020202020204" pitchFamily="34" charset="0"/>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2</xdr:col>
      <xdr:colOff>596797</xdr:colOff>
      <xdr:row>27</xdr:row>
      <xdr:rowOff>139451</xdr:rowOff>
    </xdr:from>
    <xdr:ext cx="711987" cy="622268"/>
    <xdr:pic>
      <xdr:nvPicPr>
        <xdr:cNvPr id="2" name="Billede 1">
          <a:extLst>
            <a:ext uri="{FF2B5EF4-FFF2-40B4-BE49-F238E27FC236}">
              <a16:creationId xmlns:a16="http://schemas.microsoft.com/office/drawing/2014/main" id="{11E3FC7C-0B67-41D4-9E15-880E8826D642}"/>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9295" b="89744" l="9810" r="89873">
                      <a14:foregroundMark x1="40823" y1="25641" x2="40823" y2="25641"/>
                      <a14:foregroundMark x1="81646" y1="16667" x2="81646" y2="16667"/>
                      <a14:foregroundMark x1="78165" y1="10256" x2="78165" y2="10256"/>
                      <a14:foregroundMark x1="62975" y1="9295" x2="62975" y2="9295"/>
                    </a14:backgroundRemoval>
                  </a14:imgEffect>
                </a14:imgLayer>
              </a14:imgProps>
            </a:ext>
          </a:extLst>
        </a:blip>
        <a:stretch>
          <a:fillRect/>
        </a:stretch>
      </xdr:blipFill>
      <xdr:spPr>
        <a:xfrm>
          <a:off x="6407047" y="25723601"/>
          <a:ext cx="711987" cy="622268"/>
        </a:xfrm>
        <a:prstGeom prst="rect">
          <a:avLst/>
        </a:prstGeom>
      </xdr:spPr>
    </xdr:pic>
    <xdr:clientData/>
  </xdr:oneCellAnchor>
  <xdr:oneCellAnchor>
    <xdr:from>
      <xdr:col>4</xdr:col>
      <xdr:colOff>756121</xdr:colOff>
      <xdr:row>22</xdr:row>
      <xdr:rowOff>187889</xdr:rowOff>
    </xdr:from>
    <xdr:ext cx="494210" cy="435414"/>
    <xdr:pic>
      <xdr:nvPicPr>
        <xdr:cNvPr id="3" name="Billede 2">
          <a:extLst>
            <a:ext uri="{FF2B5EF4-FFF2-40B4-BE49-F238E27FC236}">
              <a16:creationId xmlns:a16="http://schemas.microsoft.com/office/drawing/2014/main" id="{F822F102-DF46-4B6A-9462-3BA916EB73B0}"/>
            </a:ext>
          </a:extLst>
        </xdr:cNvPr>
        <xdr:cNvPicPr>
          <a:picLocks noChangeAspect="1"/>
        </xdr:cNvPicPr>
      </xdr:nvPicPr>
      <xdr:blipFill>
        <a:blip xmlns:r="http://schemas.openxmlformats.org/officeDocument/2006/relationships" r:embed="rId3"/>
        <a:stretch>
          <a:fillRect/>
        </a:stretch>
      </xdr:blipFill>
      <xdr:spPr>
        <a:xfrm>
          <a:off x="10452571" y="24895739"/>
          <a:ext cx="494210" cy="435414"/>
        </a:xfrm>
        <a:prstGeom prst="rect">
          <a:avLst/>
        </a:prstGeom>
      </xdr:spPr>
    </xdr:pic>
    <xdr:clientData/>
  </xdr:oneCellAnchor>
  <xdr:oneCellAnchor>
    <xdr:from>
      <xdr:col>3</xdr:col>
      <xdr:colOff>707049</xdr:colOff>
      <xdr:row>22</xdr:row>
      <xdr:rowOff>80309</xdr:rowOff>
    </xdr:from>
    <xdr:ext cx="521424" cy="458862"/>
    <xdr:pic>
      <xdr:nvPicPr>
        <xdr:cNvPr id="4" name="Billede 3">
          <a:extLst>
            <a:ext uri="{FF2B5EF4-FFF2-40B4-BE49-F238E27FC236}">
              <a16:creationId xmlns:a16="http://schemas.microsoft.com/office/drawing/2014/main" id="{4C3264AD-49D8-4C7A-9A35-86171A503A0E}"/>
            </a:ext>
          </a:extLst>
        </xdr:cNvPr>
        <xdr:cNvPicPr>
          <a:picLocks noChangeAspect="1"/>
        </xdr:cNvPicPr>
      </xdr:nvPicPr>
      <xdr:blipFill>
        <a:blip xmlns:r="http://schemas.openxmlformats.org/officeDocument/2006/relationships" r:embed="rId4"/>
        <a:stretch>
          <a:fillRect/>
        </a:stretch>
      </xdr:blipFill>
      <xdr:spPr>
        <a:xfrm>
          <a:off x="8460399" y="24807209"/>
          <a:ext cx="521424" cy="458862"/>
        </a:xfrm>
        <a:prstGeom prst="rect">
          <a:avLst/>
        </a:prstGeom>
      </xdr:spPr>
    </xdr:pic>
    <xdr:clientData/>
  </xdr:oneCellAnchor>
  <xdr:oneCellAnchor>
    <xdr:from>
      <xdr:col>2</xdr:col>
      <xdr:colOff>615398</xdr:colOff>
      <xdr:row>22</xdr:row>
      <xdr:rowOff>123488</xdr:rowOff>
    </xdr:from>
    <xdr:ext cx="599639" cy="405338"/>
    <xdr:pic>
      <xdr:nvPicPr>
        <xdr:cNvPr id="5" name="Billede 4">
          <a:extLst>
            <a:ext uri="{FF2B5EF4-FFF2-40B4-BE49-F238E27FC236}">
              <a16:creationId xmlns:a16="http://schemas.microsoft.com/office/drawing/2014/main" id="{E5073F13-538F-4B07-8E2A-2014F3CB1F80}"/>
            </a:ext>
          </a:extLst>
        </xdr:cNvPr>
        <xdr:cNvPicPr>
          <a:picLocks noChangeAspect="1"/>
        </xdr:cNvPicPr>
      </xdr:nvPicPr>
      <xdr:blipFill>
        <a:blip xmlns:r="http://schemas.openxmlformats.org/officeDocument/2006/relationships" r:embed="rId5"/>
        <a:stretch>
          <a:fillRect/>
        </a:stretch>
      </xdr:blipFill>
      <xdr:spPr>
        <a:xfrm>
          <a:off x="6425648" y="24850388"/>
          <a:ext cx="599639" cy="405338"/>
        </a:xfrm>
        <a:prstGeom prst="rect">
          <a:avLst/>
        </a:prstGeom>
      </xdr:spPr>
    </xdr:pic>
    <xdr:clientData/>
  </xdr:oneCellAnchor>
  <xdr:oneCellAnchor>
    <xdr:from>
      <xdr:col>3</xdr:col>
      <xdr:colOff>499072</xdr:colOff>
      <xdr:row>11</xdr:row>
      <xdr:rowOff>121079</xdr:rowOff>
    </xdr:from>
    <xdr:ext cx="922819" cy="885032"/>
    <xdr:pic>
      <xdr:nvPicPr>
        <xdr:cNvPr id="6" name="Billede 5">
          <a:extLst>
            <a:ext uri="{FF2B5EF4-FFF2-40B4-BE49-F238E27FC236}">
              <a16:creationId xmlns:a16="http://schemas.microsoft.com/office/drawing/2014/main" id="{DD991EBC-7B88-447C-A43C-00E887FB2457}"/>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9295" b="89744" l="9810" r="89873">
                      <a14:foregroundMark x1="40823" y1="25641" x2="40823" y2="25641"/>
                      <a14:foregroundMark x1="81646" y1="16667" x2="81646" y2="16667"/>
                      <a14:foregroundMark x1="78165" y1="10256" x2="78165" y2="10256"/>
                      <a14:foregroundMark x1="62975" y1="9295" x2="62975" y2="9295"/>
                    </a14:backgroundRemoval>
                  </a14:imgEffect>
                </a14:imgLayer>
              </a14:imgProps>
            </a:ext>
          </a:extLst>
        </a:blip>
        <a:stretch>
          <a:fillRect/>
        </a:stretch>
      </xdr:blipFill>
      <xdr:spPr>
        <a:xfrm>
          <a:off x="3402661" y="2901764"/>
          <a:ext cx="922819" cy="885032"/>
        </a:xfrm>
        <a:prstGeom prst="rect">
          <a:avLst/>
        </a:prstGeom>
      </xdr:spPr>
    </xdr:pic>
    <xdr:clientData/>
  </xdr:oneCellAnchor>
  <xdr:oneCellAnchor>
    <xdr:from>
      <xdr:col>3</xdr:col>
      <xdr:colOff>635356</xdr:colOff>
      <xdr:row>27</xdr:row>
      <xdr:rowOff>123423</xdr:rowOff>
    </xdr:from>
    <xdr:ext cx="711987" cy="622268"/>
    <xdr:pic>
      <xdr:nvPicPr>
        <xdr:cNvPr id="7" name="Billede 6">
          <a:extLst>
            <a:ext uri="{FF2B5EF4-FFF2-40B4-BE49-F238E27FC236}">
              <a16:creationId xmlns:a16="http://schemas.microsoft.com/office/drawing/2014/main" id="{8FC5E8E0-8C1B-4AE7-9E21-4E070D3B48D9}"/>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9295" b="89744" l="9810" r="89873">
                      <a14:foregroundMark x1="40823" y1="25641" x2="40823" y2="25641"/>
                      <a14:foregroundMark x1="81646" y1="16667" x2="81646" y2="16667"/>
                      <a14:foregroundMark x1="78165" y1="10256" x2="78165" y2="10256"/>
                      <a14:foregroundMark x1="62975" y1="9295" x2="62975" y2="9295"/>
                    </a14:backgroundRemoval>
                  </a14:imgEffect>
                </a14:imgLayer>
              </a14:imgProps>
            </a:ext>
          </a:extLst>
        </a:blip>
        <a:stretch>
          <a:fillRect/>
        </a:stretch>
      </xdr:blipFill>
      <xdr:spPr>
        <a:xfrm>
          <a:off x="8388706" y="25707573"/>
          <a:ext cx="711987" cy="622268"/>
        </a:xfrm>
        <a:prstGeom prst="rect">
          <a:avLst/>
        </a:prstGeom>
      </xdr:spPr>
    </xdr:pic>
    <xdr:clientData/>
  </xdr:oneCellAnchor>
  <xdr:oneCellAnchor>
    <xdr:from>
      <xdr:col>4</xdr:col>
      <xdr:colOff>621366</xdr:colOff>
      <xdr:row>27</xdr:row>
      <xdr:rowOff>170218</xdr:rowOff>
    </xdr:from>
    <xdr:ext cx="711987" cy="622268"/>
    <xdr:pic>
      <xdr:nvPicPr>
        <xdr:cNvPr id="8" name="Billede 7">
          <a:extLst>
            <a:ext uri="{FF2B5EF4-FFF2-40B4-BE49-F238E27FC236}">
              <a16:creationId xmlns:a16="http://schemas.microsoft.com/office/drawing/2014/main" id="{839312DB-0F1A-4223-B196-350464366989}"/>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9295" b="89744" l="9810" r="89873">
                      <a14:foregroundMark x1="40823" y1="25641" x2="40823" y2="25641"/>
                      <a14:foregroundMark x1="81646" y1="16667" x2="81646" y2="16667"/>
                      <a14:foregroundMark x1="78165" y1="10256" x2="78165" y2="10256"/>
                      <a14:foregroundMark x1="62975" y1="9295" x2="62975" y2="9295"/>
                    </a14:backgroundRemoval>
                  </a14:imgEffect>
                </a14:imgLayer>
              </a14:imgProps>
            </a:ext>
          </a:extLst>
        </a:blip>
        <a:stretch>
          <a:fillRect/>
        </a:stretch>
      </xdr:blipFill>
      <xdr:spPr>
        <a:xfrm>
          <a:off x="10317816" y="25754368"/>
          <a:ext cx="711987" cy="622268"/>
        </a:xfrm>
        <a:prstGeom prst="rect">
          <a:avLst/>
        </a:prstGeom>
      </xdr:spPr>
    </xdr:pic>
    <xdr:clientData/>
  </xdr:oneCellAnchor>
  <xdr:oneCellAnchor>
    <xdr:from>
      <xdr:col>6</xdr:col>
      <xdr:colOff>601849</xdr:colOff>
      <xdr:row>27</xdr:row>
      <xdr:rowOff>156769</xdr:rowOff>
    </xdr:from>
    <xdr:ext cx="711987" cy="695453"/>
    <xdr:pic>
      <xdr:nvPicPr>
        <xdr:cNvPr id="9" name="Billede 8">
          <a:extLst>
            <a:ext uri="{FF2B5EF4-FFF2-40B4-BE49-F238E27FC236}">
              <a16:creationId xmlns:a16="http://schemas.microsoft.com/office/drawing/2014/main" id="{6D96CC5D-7A16-4102-9D35-37B67707B70B}"/>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9295" b="89744" l="9810" r="89873">
                      <a14:foregroundMark x1="40823" y1="25641" x2="40823" y2="25641"/>
                      <a14:foregroundMark x1="81646" y1="16667" x2="81646" y2="16667"/>
                      <a14:foregroundMark x1="78165" y1="10256" x2="78165" y2="10256"/>
                      <a14:foregroundMark x1="62975" y1="9295" x2="62975" y2="9295"/>
                    </a14:backgroundRemoval>
                  </a14:imgEffect>
                </a14:imgLayer>
              </a14:imgProps>
            </a:ext>
          </a:extLst>
        </a:blip>
        <a:stretch>
          <a:fillRect/>
        </a:stretch>
      </xdr:blipFill>
      <xdr:spPr>
        <a:xfrm>
          <a:off x="13771749" y="25740919"/>
          <a:ext cx="711987" cy="695453"/>
        </a:xfrm>
        <a:prstGeom prst="rect">
          <a:avLst/>
        </a:prstGeom>
      </xdr:spPr>
    </xdr:pic>
    <xdr:clientData/>
  </xdr:oneCellAnchor>
  <xdr:oneCellAnchor>
    <xdr:from>
      <xdr:col>8</xdr:col>
      <xdr:colOff>774161</xdr:colOff>
      <xdr:row>22</xdr:row>
      <xdr:rowOff>128358</xdr:rowOff>
    </xdr:from>
    <xdr:ext cx="494210" cy="460313"/>
    <xdr:pic>
      <xdr:nvPicPr>
        <xdr:cNvPr id="10" name="Billede 9">
          <a:extLst>
            <a:ext uri="{FF2B5EF4-FFF2-40B4-BE49-F238E27FC236}">
              <a16:creationId xmlns:a16="http://schemas.microsoft.com/office/drawing/2014/main" id="{2A2A0DA4-FB59-4972-86C1-ED515F5F6FE6}"/>
            </a:ext>
          </a:extLst>
        </xdr:cNvPr>
        <xdr:cNvPicPr>
          <a:picLocks noChangeAspect="1"/>
        </xdr:cNvPicPr>
      </xdr:nvPicPr>
      <xdr:blipFill>
        <a:blip xmlns:r="http://schemas.openxmlformats.org/officeDocument/2006/relationships" r:embed="rId3"/>
        <a:stretch>
          <a:fillRect/>
        </a:stretch>
      </xdr:blipFill>
      <xdr:spPr>
        <a:xfrm>
          <a:off x="18655761" y="24855258"/>
          <a:ext cx="494210" cy="460313"/>
        </a:xfrm>
        <a:prstGeom prst="rect">
          <a:avLst/>
        </a:prstGeom>
      </xdr:spPr>
    </xdr:pic>
    <xdr:clientData/>
  </xdr:oneCellAnchor>
  <xdr:oneCellAnchor>
    <xdr:from>
      <xdr:col>7</xdr:col>
      <xdr:colOff>646362</xdr:colOff>
      <xdr:row>22</xdr:row>
      <xdr:rowOff>94019</xdr:rowOff>
    </xdr:from>
    <xdr:ext cx="521424" cy="483761"/>
    <xdr:pic>
      <xdr:nvPicPr>
        <xdr:cNvPr id="11" name="Billede 10">
          <a:extLst>
            <a:ext uri="{FF2B5EF4-FFF2-40B4-BE49-F238E27FC236}">
              <a16:creationId xmlns:a16="http://schemas.microsoft.com/office/drawing/2014/main" id="{04DD4466-4644-44A8-85AC-E710F4AB7051}"/>
            </a:ext>
          </a:extLst>
        </xdr:cNvPr>
        <xdr:cNvPicPr>
          <a:picLocks noChangeAspect="1"/>
        </xdr:cNvPicPr>
      </xdr:nvPicPr>
      <xdr:blipFill>
        <a:blip xmlns:r="http://schemas.openxmlformats.org/officeDocument/2006/relationships" r:embed="rId4"/>
        <a:stretch>
          <a:fillRect/>
        </a:stretch>
      </xdr:blipFill>
      <xdr:spPr>
        <a:xfrm>
          <a:off x="9796712" y="4723169"/>
          <a:ext cx="521424" cy="483761"/>
        </a:xfrm>
        <a:prstGeom prst="rect">
          <a:avLst/>
        </a:prstGeom>
      </xdr:spPr>
    </xdr:pic>
    <xdr:clientData/>
  </xdr:oneCellAnchor>
  <xdr:oneCellAnchor>
    <xdr:from>
      <xdr:col>6</xdr:col>
      <xdr:colOff>684671</xdr:colOff>
      <xdr:row>22</xdr:row>
      <xdr:rowOff>123488</xdr:rowOff>
    </xdr:from>
    <xdr:ext cx="599639" cy="430237"/>
    <xdr:pic>
      <xdr:nvPicPr>
        <xdr:cNvPr id="12" name="Billede 11">
          <a:extLst>
            <a:ext uri="{FF2B5EF4-FFF2-40B4-BE49-F238E27FC236}">
              <a16:creationId xmlns:a16="http://schemas.microsoft.com/office/drawing/2014/main" id="{CCB5ED89-0D44-4E1C-B578-7326D6F9EFC6}"/>
            </a:ext>
          </a:extLst>
        </xdr:cNvPr>
        <xdr:cNvPicPr>
          <a:picLocks noChangeAspect="1"/>
        </xdr:cNvPicPr>
      </xdr:nvPicPr>
      <xdr:blipFill>
        <a:blip xmlns:r="http://schemas.openxmlformats.org/officeDocument/2006/relationships" r:embed="rId5"/>
        <a:stretch>
          <a:fillRect/>
        </a:stretch>
      </xdr:blipFill>
      <xdr:spPr>
        <a:xfrm>
          <a:off x="13854571" y="24850388"/>
          <a:ext cx="599639" cy="430237"/>
        </a:xfrm>
        <a:prstGeom prst="rect">
          <a:avLst/>
        </a:prstGeom>
      </xdr:spPr>
    </xdr:pic>
    <xdr:clientData/>
  </xdr:oneCellAnchor>
  <xdr:oneCellAnchor>
    <xdr:from>
      <xdr:col>7</xdr:col>
      <xdr:colOff>499393</xdr:colOff>
      <xdr:row>11</xdr:row>
      <xdr:rowOff>59476</xdr:rowOff>
    </xdr:from>
    <xdr:ext cx="922819" cy="934839"/>
    <xdr:pic>
      <xdr:nvPicPr>
        <xdr:cNvPr id="13" name="Billede 12">
          <a:extLst>
            <a:ext uri="{FF2B5EF4-FFF2-40B4-BE49-F238E27FC236}">
              <a16:creationId xmlns:a16="http://schemas.microsoft.com/office/drawing/2014/main" id="{321D46C6-DC38-4CE8-813C-45C2F3A82627}"/>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9295" b="89744" l="9810" r="89873">
                      <a14:foregroundMark x1="40823" y1="25641" x2="40823" y2="25641"/>
                      <a14:foregroundMark x1="81646" y1="16667" x2="81646" y2="16667"/>
                      <a14:foregroundMark x1="78165" y1="10256" x2="78165" y2="10256"/>
                      <a14:foregroundMark x1="62975" y1="9295" x2="62975" y2="9295"/>
                    </a14:backgroundRemoval>
                  </a14:imgEffect>
                </a14:imgLayer>
              </a14:imgProps>
            </a:ext>
          </a:extLst>
        </a:blip>
        <a:stretch>
          <a:fillRect/>
        </a:stretch>
      </xdr:blipFill>
      <xdr:spPr>
        <a:xfrm>
          <a:off x="9210159" y="2840161"/>
          <a:ext cx="922819" cy="934839"/>
        </a:xfrm>
        <a:prstGeom prst="rect">
          <a:avLst/>
        </a:prstGeom>
      </xdr:spPr>
    </xdr:pic>
    <xdr:clientData/>
  </xdr:oneCellAnchor>
  <xdr:oneCellAnchor>
    <xdr:from>
      <xdr:col>8</xdr:col>
      <xdr:colOff>605915</xdr:colOff>
      <xdr:row>27</xdr:row>
      <xdr:rowOff>156905</xdr:rowOff>
    </xdr:from>
    <xdr:ext cx="711987" cy="695453"/>
    <xdr:pic>
      <xdr:nvPicPr>
        <xdr:cNvPr id="14" name="Billede 13">
          <a:extLst>
            <a:ext uri="{FF2B5EF4-FFF2-40B4-BE49-F238E27FC236}">
              <a16:creationId xmlns:a16="http://schemas.microsoft.com/office/drawing/2014/main" id="{6539198E-2479-4C74-B269-E7AAFEB426AF}"/>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9295" b="89744" l="9810" r="89873">
                      <a14:foregroundMark x1="40823" y1="25641" x2="40823" y2="25641"/>
                      <a14:foregroundMark x1="81646" y1="16667" x2="81646" y2="16667"/>
                      <a14:foregroundMark x1="78165" y1="10256" x2="78165" y2="10256"/>
                      <a14:foregroundMark x1="62975" y1="9295" x2="62975" y2="9295"/>
                    </a14:backgroundRemoval>
                  </a14:imgEffect>
                </a14:imgLayer>
              </a14:imgProps>
            </a:ext>
          </a:extLst>
        </a:blip>
        <a:stretch>
          <a:fillRect/>
        </a:stretch>
      </xdr:blipFill>
      <xdr:spPr>
        <a:xfrm>
          <a:off x="11578715" y="5802055"/>
          <a:ext cx="711987" cy="695453"/>
        </a:xfrm>
        <a:prstGeom prst="rect">
          <a:avLst/>
        </a:prstGeom>
      </xdr:spPr>
    </xdr:pic>
    <xdr:clientData/>
  </xdr:oneCellAnchor>
  <xdr:oneCellAnchor>
    <xdr:from>
      <xdr:col>7</xdr:col>
      <xdr:colOff>601739</xdr:colOff>
      <xdr:row>27</xdr:row>
      <xdr:rowOff>157518</xdr:rowOff>
    </xdr:from>
    <xdr:ext cx="711987" cy="695453"/>
    <xdr:pic>
      <xdr:nvPicPr>
        <xdr:cNvPr id="15" name="Billede 14">
          <a:extLst>
            <a:ext uri="{FF2B5EF4-FFF2-40B4-BE49-F238E27FC236}">
              <a16:creationId xmlns:a16="http://schemas.microsoft.com/office/drawing/2014/main" id="{42E12167-FE87-4730-8BB2-B3ACB83C4FA9}"/>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9295" b="89744" l="9810" r="89873">
                      <a14:foregroundMark x1="40823" y1="25641" x2="40823" y2="25641"/>
                      <a14:foregroundMark x1="81646" y1="16667" x2="81646" y2="16667"/>
                      <a14:foregroundMark x1="78165" y1="10256" x2="78165" y2="10256"/>
                      <a14:foregroundMark x1="62975" y1="9295" x2="62975" y2="9295"/>
                    </a14:backgroundRemoval>
                  </a14:imgEffect>
                </a14:imgLayer>
              </a14:imgProps>
            </a:ext>
          </a:extLst>
        </a:blip>
        <a:stretch>
          <a:fillRect/>
        </a:stretch>
      </xdr:blipFill>
      <xdr:spPr>
        <a:xfrm>
          <a:off x="9752089" y="5802668"/>
          <a:ext cx="711987" cy="695453"/>
        </a:xfrm>
        <a:prstGeom prst="rect">
          <a:avLst/>
        </a:prstGeom>
      </xdr:spPr>
    </xdr:pic>
    <xdr:clientData/>
  </xdr:oneCellAnchor>
  <xdr:oneCellAnchor>
    <xdr:from>
      <xdr:col>11</xdr:col>
      <xdr:colOff>11545</xdr:colOff>
      <xdr:row>7</xdr:row>
      <xdr:rowOff>95907</xdr:rowOff>
    </xdr:from>
    <xdr:ext cx="876300" cy="628739"/>
    <xdr:pic>
      <xdr:nvPicPr>
        <xdr:cNvPr id="26" name="Billede 25">
          <a:extLst>
            <a:ext uri="{FF2B5EF4-FFF2-40B4-BE49-F238E27FC236}">
              <a16:creationId xmlns:a16="http://schemas.microsoft.com/office/drawing/2014/main" id="{AEDB94A9-03B4-47BB-BF8A-C4344632039D}"/>
            </a:ext>
          </a:extLst>
        </xdr:cNvPr>
        <xdr:cNvPicPr>
          <a:picLocks noChangeAspect="1"/>
        </xdr:cNvPicPr>
      </xdr:nvPicPr>
      <xdr:blipFill>
        <a:blip xmlns:r="http://schemas.openxmlformats.org/officeDocument/2006/relationships" r:embed="rId5"/>
        <a:stretch>
          <a:fillRect/>
        </a:stretch>
      </xdr:blipFill>
      <xdr:spPr>
        <a:xfrm>
          <a:off x="14991772" y="2052862"/>
          <a:ext cx="876300" cy="628739"/>
        </a:xfrm>
        <a:prstGeom prst="rect">
          <a:avLst/>
        </a:prstGeom>
      </xdr:spPr>
    </xdr:pic>
    <xdr:clientData/>
  </xdr:oneCellAnchor>
  <xdr:twoCellAnchor editAs="oneCell">
    <xdr:from>
      <xdr:col>10</xdr:col>
      <xdr:colOff>763154</xdr:colOff>
      <xdr:row>10</xdr:row>
      <xdr:rowOff>166264</xdr:rowOff>
    </xdr:from>
    <xdr:to>
      <xdr:col>10</xdr:col>
      <xdr:colOff>1720273</xdr:colOff>
      <xdr:row>12</xdr:row>
      <xdr:rowOff>224045</xdr:rowOff>
    </xdr:to>
    <xdr:pic>
      <xdr:nvPicPr>
        <xdr:cNvPr id="27" name="Billede 26">
          <a:extLst>
            <a:ext uri="{FF2B5EF4-FFF2-40B4-BE49-F238E27FC236}">
              <a16:creationId xmlns:a16="http://schemas.microsoft.com/office/drawing/2014/main" id="{42E234AB-6F71-4D20-A2D5-8F8718C73B0A}"/>
            </a:ext>
          </a:extLst>
        </xdr:cNvPr>
        <xdr:cNvPicPr>
          <a:picLocks noChangeAspect="1"/>
        </xdr:cNvPicPr>
      </xdr:nvPicPr>
      <xdr:blipFill>
        <a:blip xmlns:r="http://schemas.openxmlformats.org/officeDocument/2006/relationships" r:embed="rId6"/>
        <a:stretch>
          <a:fillRect/>
        </a:stretch>
      </xdr:blipFill>
      <xdr:spPr>
        <a:xfrm>
          <a:off x="13821063" y="3075719"/>
          <a:ext cx="957119" cy="715872"/>
        </a:xfrm>
        <a:prstGeom prst="rect">
          <a:avLst/>
        </a:prstGeom>
      </xdr:spPr>
    </xdr:pic>
    <xdr:clientData/>
  </xdr:twoCellAnchor>
  <xdr:oneCellAnchor>
    <xdr:from>
      <xdr:col>11</xdr:col>
      <xdr:colOff>258804</xdr:colOff>
      <xdr:row>16</xdr:row>
      <xdr:rowOff>151170</xdr:rowOff>
    </xdr:from>
    <xdr:ext cx="521424" cy="483761"/>
    <xdr:pic>
      <xdr:nvPicPr>
        <xdr:cNvPr id="28" name="Billede 27">
          <a:extLst>
            <a:ext uri="{FF2B5EF4-FFF2-40B4-BE49-F238E27FC236}">
              <a16:creationId xmlns:a16="http://schemas.microsoft.com/office/drawing/2014/main" id="{0178FABD-2711-4E3B-B4BD-351896AA9C94}"/>
            </a:ext>
          </a:extLst>
        </xdr:cNvPr>
        <xdr:cNvPicPr>
          <a:picLocks noChangeAspect="1"/>
        </xdr:cNvPicPr>
      </xdr:nvPicPr>
      <xdr:blipFill>
        <a:blip xmlns:r="http://schemas.openxmlformats.org/officeDocument/2006/relationships" r:embed="rId4"/>
        <a:stretch>
          <a:fillRect/>
        </a:stretch>
      </xdr:blipFill>
      <xdr:spPr>
        <a:xfrm>
          <a:off x="15550759" y="4809761"/>
          <a:ext cx="521424" cy="483761"/>
        </a:xfrm>
        <a:prstGeom prst="rect">
          <a:avLst/>
        </a:prstGeom>
      </xdr:spPr>
    </xdr:pic>
    <xdr:clientData/>
  </xdr:oneCellAnchor>
  <xdr:twoCellAnchor editAs="oneCell">
    <xdr:from>
      <xdr:col>10</xdr:col>
      <xdr:colOff>750455</xdr:colOff>
      <xdr:row>19</xdr:row>
      <xdr:rowOff>35294</xdr:rowOff>
    </xdr:from>
    <xdr:to>
      <xdr:col>10</xdr:col>
      <xdr:colOff>1771074</xdr:colOff>
      <xdr:row>21</xdr:row>
      <xdr:rowOff>208356</xdr:rowOff>
    </xdr:to>
    <xdr:pic>
      <xdr:nvPicPr>
        <xdr:cNvPr id="30" name="Billede 29">
          <a:extLst>
            <a:ext uri="{FF2B5EF4-FFF2-40B4-BE49-F238E27FC236}">
              <a16:creationId xmlns:a16="http://schemas.microsoft.com/office/drawing/2014/main" id="{26102F8D-D5C2-4D8A-B182-73252C49B416}"/>
            </a:ext>
          </a:extLst>
        </xdr:cNvPr>
        <xdr:cNvPicPr>
          <a:picLocks noChangeAspect="1"/>
        </xdr:cNvPicPr>
      </xdr:nvPicPr>
      <xdr:blipFill>
        <a:blip xmlns:r="http://schemas.openxmlformats.org/officeDocument/2006/relationships" r:embed="rId7"/>
        <a:stretch>
          <a:fillRect/>
        </a:stretch>
      </xdr:blipFill>
      <xdr:spPr>
        <a:xfrm>
          <a:off x="13808364" y="5577112"/>
          <a:ext cx="1020619" cy="831153"/>
        </a:xfrm>
        <a:prstGeom prst="rect">
          <a:avLst/>
        </a:prstGeom>
      </xdr:spPr>
    </xdr:pic>
    <xdr:clientData/>
  </xdr:twoCellAnchor>
  <xdr:oneCellAnchor>
    <xdr:from>
      <xdr:col>11</xdr:col>
      <xdr:colOff>265375</xdr:colOff>
      <xdr:row>25</xdr:row>
      <xdr:rowOff>200517</xdr:rowOff>
    </xdr:from>
    <xdr:ext cx="494210" cy="460313"/>
    <xdr:pic>
      <xdr:nvPicPr>
        <xdr:cNvPr id="31" name="Billede 30">
          <a:extLst>
            <a:ext uri="{FF2B5EF4-FFF2-40B4-BE49-F238E27FC236}">
              <a16:creationId xmlns:a16="http://schemas.microsoft.com/office/drawing/2014/main" id="{8EDF6DDA-AE0F-4662-9825-76D6444F9640}"/>
            </a:ext>
          </a:extLst>
        </xdr:cNvPr>
        <xdr:cNvPicPr>
          <a:picLocks noChangeAspect="1"/>
        </xdr:cNvPicPr>
      </xdr:nvPicPr>
      <xdr:blipFill>
        <a:blip xmlns:r="http://schemas.openxmlformats.org/officeDocument/2006/relationships" r:embed="rId3"/>
        <a:stretch>
          <a:fillRect/>
        </a:stretch>
      </xdr:blipFill>
      <xdr:spPr>
        <a:xfrm>
          <a:off x="15557330" y="7300972"/>
          <a:ext cx="494210" cy="460313"/>
        </a:xfrm>
        <a:prstGeom prst="rect">
          <a:avLst/>
        </a:prstGeom>
      </xdr:spPr>
    </xdr:pic>
    <xdr:clientData/>
  </xdr:oneCellAnchor>
  <xdr:twoCellAnchor editAs="oneCell">
    <xdr:from>
      <xdr:col>10</xdr:col>
      <xdr:colOff>892464</xdr:colOff>
      <xdr:row>29</xdr:row>
      <xdr:rowOff>222983</xdr:rowOff>
    </xdr:from>
    <xdr:to>
      <xdr:col>10</xdr:col>
      <xdr:colOff>1786082</xdr:colOff>
      <xdr:row>31</xdr:row>
      <xdr:rowOff>198672</xdr:rowOff>
    </xdr:to>
    <xdr:pic>
      <xdr:nvPicPr>
        <xdr:cNvPr id="35" name="Billede 34">
          <a:extLst>
            <a:ext uri="{FF2B5EF4-FFF2-40B4-BE49-F238E27FC236}">
              <a16:creationId xmlns:a16="http://schemas.microsoft.com/office/drawing/2014/main" id="{039D0A4A-195A-44D9-9FAF-31F0A706C597}"/>
            </a:ext>
          </a:extLst>
        </xdr:cNvPr>
        <xdr:cNvPicPr>
          <a:picLocks noChangeAspect="1"/>
        </xdr:cNvPicPr>
      </xdr:nvPicPr>
      <xdr:blipFill>
        <a:blip xmlns:r="http://schemas.openxmlformats.org/officeDocument/2006/relationships" r:embed="rId8"/>
        <a:stretch>
          <a:fillRect/>
        </a:stretch>
      </xdr:blipFill>
      <xdr:spPr>
        <a:xfrm>
          <a:off x="13950373" y="8206665"/>
          <a:ext cx="893618" cy="633780"/>
        </a:xfrm>
        <a:prstGeom prst="rect">
          <a:avLst/>
        </a:prstGeom>
      </xdr:spPr>
    </xdr:pic>
    <xdr:clientData/>
  </xdr:twoCellAnchor>
  <xdr:twoCellAnchor>
    <xdr:from>
      <xdr:col>1</xdr:col>
      <xdr:colOff>585106</xdr:colOff>
      <xdr:row>34</xdr:row>
      <xdr:rowOff>176893</xdr:rowOff>
    </xdr:from>
    <xdr:to>
      <xdr:col>4</xdr:col>
      <xdr:colOff>1741713</xdr:colOff>
      <xdr:row>49</xdr:row>
      <xdr:rowOff>13607</xdr:rowOff>
    </xdr:to>
    <xdr:sp macro="" textlink="">
      <xdr:nvSpPr>
        <xdr:cNvPr id="29" name="Tekstfelt 28">
          <a:extLst>
            <a:ext uri="{FF2B5EF4-FFF2-40B4-BE49-F238E27FC236}">
              <a16:creationId xmlns:a16="http://schemas.microsoft.com/office/drawing/2014/main" id="{AC00053B-57CA-4510-A89E-21E68C6A1A15}"/>
            </a:ext>
          </a:extLst>
        </xdr:cNvPr>
        <xdr:cNvSpPr txBox="1"/>
      </xdr:nvSpPr>
      <xdr:spPr>
        <a:xfrm>
          <a:off x="1170213" y="9429750"/>
          <a:ext cx="5225143" cy="2694214"/>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600" b="1">
              <a:solidFill>
                <a:schemeClr val="dk1"/>
              </a:solidFill>
              <a:effectLst/>
              <a:latin typeface="Century Gothic" panose="020B0502020202020204" pitchFamily="34" charset="0"/>
              <a:ea typeface="+mn-ea"/>
              <a:cs typeface="+mn-cs"/>
            </a:rPr>
            <a:t>Potentiel</a:t>
          </a:r>
          <a:r>
            <a:rPr lang="da-DK" sz="1600" b="1" baseline="0">
              <a:solidFill>
                <a:schemeClr val="dk1"/>
              </a:solidFill>
              <a:effectLst/>
              <a:latin typeface="Century Gothic" panose="020B0502020202020204" pitchFamily="34" charset="0"/>
              <a:ea typeface="+mn-ea"/>
              <a:cs typeface="+mn-cs"/>
            </a:rPr>
            <a:t> CO2-besparelse </a:t>
          </a:r>
          <a:br>
            <a:rPr lang="da-DK" sz="1600" b="1" baseline="0">
              <a:solidFill>
                <a:schemeClr val="dk1"/>
              </a:solidFill>
              <a:effectLst/>
              <a:latin typeface="Century Gothic" panose="020B0502020202020204" pitchFamily="34" charset="0"/>
              <a:ea typeface="+mn-ea"/>
              <a:cs typeface="+mn-cs"/>
            </a:rPr>
          </a:br>
          <a:endParaRPr lang="da-DK" sz="1600" b="1" baseline="0">
            <a:solidFill>
              <a:schemeClr val="dk1"/>
            </a:solidFill>
            <a:effectLst/>
            <a:latin typeface="Century Gothic" panose="020B0502020202020204" pitchFamily="34" charset="0"/>
            <a:ea typeface="+mn-ea"/>
            <a:cs typeface="+mn-cs"/>
          </a:endParaRPr>
        </a:p>
        <a:p>
          <a:r>
            <a:rPr lang="da-DK" sz="1400" b="0" baseline="0">
              <a:solidFill>
                <a:schemeClr val="dk1"/>
              </a:solidFill>
              <a:effectLst/>
              <a:latin typeface="Century Gothic" panose="020B0502020202020204" pitchFamily="34" charset="0"/>
              <a:ea typeface="+mn-ea"/>
              <a:cs typeface="+mn-cs"/>
            </a:rPr>
            <a:t>Denne reference sammenligner den mulige CO2-besparelse ved cirkulering af de indtastede materialer i forhold til den gennemsnitlige danskers årlige CO2-forbrug. Beregnet viser det samlede tal på tværs af de 3 materialer såvel som tallet for de enkelte materialer hver især. </a:t>
          </a:r>
          <a:br>
            <a:rPr lang="da-DK" sz="1400" b="0" baseline="0">
              <a:solidFill>
                <a:schemeClr val="dk1"/>
              </a:solidFill>
              <a:effectLst/>
              <a:latin typeface="Century Gothic" panose="020B0502020202020204" pitchFamily="34" charset="0"/>
              <a:ea typeface="+mn-ea"/>
              <a:cs typeface="+mn-cs"/>
            </a:rPr>
          </a:br>
          <a:endParaRPr lang="da-DK" sz="1400" b="0" baseline="0">
            <a:solidFill>
              <a:schemeClr val="dk1"/>
            </a:solidFill>
            <a:effectLst/>
            <a:latin typeface="Century Gothic" panose="020B0502020202020204" pitchFamily="34" charset="0"/>
            <a:ea typeface="+mn-ea"/>
            <a:cs typeface="+mn-cs"/>
          </a:endParaRPr>
        </a:p>
        <a:p>
          <a:r>
            <a:rPr lang="da-DK" sz="1400" b="0" baseline="0">
              <a:solidFill>
                <a:schemeClr val="dk1"/>
              </a:solidFill>
              <a:effectLst/>
              <a:latin typeface="Century Gothic" panose="020B0502020202020204" pitchFamily="34" charset="0"/>
              <a:ea typeface="+mn-ea"/>
              <a:cs typeface="+mn-cs"/>
            </a:rPr>
            <a:t>Det anslås, at hver dansker i gennemsnit udleder 19 tons CO2 om året. </a:t>
          </a:r>
          <a:endParaRPr lang="en-GB" sz="1400" b="0">
            <a:solidFill>
              <a:schemeClr val="dk1"/>
            </a:solidFill>
            <a:effectLst/>
            <a:latin typeface="Century Gothic" panose="020B0502020202020204" pitchFamily="34" charset="0"/>
            <a:ea typeface="+mn-ea"/>
            <a:cs typeface="+mn-cs"/>
          </a:endParaRPr>
        </a:p>
        <a:p>
          <a:pPr lvl="1"/>
          <a:endParaRPr lang="en-DK" sz="1000">
            <a:solidFill>
              <a:schemeClr val="dk1"/>
            </a:solidFill>
            <a:effectLst/>
            <a:latin typeface="Century Gothic" panose="020B0502020202020204" pitchFamily="34" charset="0"/>
            <a:ea typeface="+mn-ea"/>
            <a:cs typeface="+mn-cs"/>
          </a:endParaRPr>
        </a:p>
        <a:p>
          <a:endParaRPr lang="da-DK" sz="1000">
            <a:solidFill>
              <a:schemeClr val="dk1"/>
            </a:solidFill>
            <a:effectLst/>
            <a:latin typeface="Century Gothic" panose="020B0502020202020204" pitchFamily="34" charset="0"/>
            <a:ea typeface="+mn-ea"/>
            <a:cs typeface="+mn-cs"/>
          </a:endParaRPr>
        </a:p>
        <a:p>
          <a:endParaRPr lang="en-DK" sz="1000">
            <a:solidFill>
              <a:schemeClr val="dk1"/>
            </a:solidFill>
            <a:effectLst/>
            <a:latin typeface="Century Gothic" panose="020B0502020202020204" pitchFamily="34" charset="0"/>
            <a:ea typeface="+mn-ea"/>
            <a:cs typeface="+mn-cs"/>
          </a:endParaRPr>
        </a:p>
      </xdr:txBody>
    </xdr:sp>
    <xdr:clientData/>
  </xdr:twoCellAnchor>
  <xdr:twoCellAnchor>
    <xdr:from>
      <xdr:col>6</xdr:col>
      <xdr:colOff>2720</xdr:colOff>
      <xdr:row>35</xdr:row>
      <xdr:rowOff>2721</xdr:rowOff>
    </xdr:from>
    <xdr:to>
      <xdr:col>8</xdr:col>
      <xdr:colOff>1730827</xdr:colOff>
      <xdr:row>49</xdr:row>
      <xdr:rowOff>0</xdr:rowOff>
    </xdr:to>
    <xdr:sp macro="" textlink="">
      <xdr:nvSpPr>
        <xdr:cNvPr id="32" name="Tekstfelt 31">
          <a:extLst>
            <a:ext uri="{FF2B5EF4-FFF2-40B4-BE49-F238E27FC236}">
              <a16:creationId xmlns:a16="http://schemas.microsoft.com/office/drawing/2014/main" id="{5C69AC8E-1FAA-41EF-B4DF-829EBDD582C8}"/>
            </a:ext>
          </a:extLst>
        </xdr:cNvPr>
        <xdr:cNvSpPr txBox="1"/>
      </xdr:nvSpPr>
      <xdr:spPr>
        <a:xfrm>
          <a:off x="6983184" y="9446078"/>
          <a:ext cx="5225143" cy="2664279"/>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600" b="1">
              <a:solidFill>
                <a:schemeClr val="dk1"/>
              </a:solidFill>
              <a:effectLst/>
              <a:latin typeface="Century Gothic" panose="020B0502020202020204" pitchFamily="34" charset="0"/>
              <a:ea typeface="+mn-ea"/>
              <a:cs typeface="+mn-cs"/>
            </a:rPr>
            <a:t>Potentiel</a:t>
          </a:r>
          <a:r>
            <a:rPr lang="da-DK" sz="1600" b="1" baseline="0">
              <a:solidFill>
                <a:schemeClr val="dk1"/>
              </a:solidFill>
              <a:effectLst/>
              <a:latin typeface="Century Gothic" panose="020B0502020202020204" pitchFamily="34" charset="0"/>
              <a:ea typeface="+mn-ea"/>
              <a:cs typeface="+mn-cs"/>
            </a:rPr>
            <a:t> affaldsminimering </a:t>
          </a:r>
          <a:br>
            <a:rPr lang="da-DK" sz="1600" b="1" baseline="0">
              <a:solidFill>
                <a:schemeClr val="dk1"/>
              </a:solidFill>
              <a:effectLst/>
              <a:latin typeface="Century Gothic" panose="020B0502020202020204" pitchFamily="34" charset="0"/>
              <a:ea typeface="+mn-ea"/>
              <a:cs typeface="+mn-cs"/>
            </a:rPr>
          </a:br>
          <a:endParaRPr lang="da-DK" sz="1600" b="1" baseline="0">
            <a:solidFill>
              <a:schemeClr val="dk1"/>
            </a:solidFill>
            <a:effectLst/>
            <a:latin typeface="Century Gothic" panose="020B0502020202020204" pitchFamily="34" charset="0"/>
            <a:ea typeface="+mn-ea"/>
            <a:cs typeface="+mn-cs"/>
          </a:endParaRPr>
        </a:p>
        <a:p>
          <a:r>
            <a:rPr lang="da-DK" sz="1400" b="0" baseline="0">
              <a:solidFill>
                <a:schemeClr val="dk1"/>
              </a:solidFill>
              <a:effectLst/>
              <a:latin typeface="Century Gothic" panose="020B0502020202020204" pitchFamily="34" charset="0"/>
              <a:ea typeface="+mn-ea"/>
              <a:cs typeface="+mn-cs"/>
            </a:rPr>
            <a:t>Denne reference sammenligner den mulige affaldsminimering ved cirkulering af de indtastede materialer i forhold til den gennemsnitlige danskers årlige affaldsproduktion. Udregningen viser det samlede tal på tværs af de 3 materialer såvel som tallet for de enkelte materialer hver især. </a:t>
          </a:r>
          <a:br>
            <a:rPr lang="da-DK" sz="1400" b="0" baseline="0">
              <a:solidFill>
                <a:schemeClr val="dk1"/>
              </a:solidFill>
              <a:effectLst/>
              <a:latin typeface="Century Gothic" panose="020B0502020202020204" pitchFamily="34" charset="0"/>
              <a:ea typeface="+mn-ea"/>
              <a:cs typeface="+mn-cs"/>
            </a:rPr>
          </a:br>
          <a:endParaRPr lang="da-DK" sz="1400" b="0" baseline="0">
            <a:solidFill>
              <a:schemeClr val="dk1"/>
            </a:solidFill>
            <a:effectLst/>
            <a:latin typeface="Century Gothic" panose="020B0502020202020204" pitchFamily="34" charset="0"/>
            <a:ea typeface="+mn-ea"/>
            <a:cs typeface="+mn-cs"/>
          </a:endParaRPr>
        </a:p>
        <a:p>
          <a:r>
            <a:rPr lang="da-DK" sz="1400" b="0" baseline="0">
              <a:solidFill>
                <a:schemeClr val="dk1"/>
              </a:solidFill>
              <a:effectLst/>
              <a:latin typeface="Century Gothic" panose="020B0502020202020204" pitchFamily="34" charset="0"/>
              <a:ea typeface="+mn-ea"/>
              <a:cs typeface="+mn-cs"/>
            </a:rPr>
            <a:t>Det anslås, at hver dansker i gennemsnit smider 447 KG husholdningsaffald ud om året. </a:t>
          </a:r>
          <a:endParaRPr lang="en-GB" sz="1400" b="0">
            <a:solidFill>
              <a:schemeClr val="dk1"/>
            </a:solidFill>
            <a:effectLst/>
            <a:latin typeface="Century Gothic" panose="020B0502020202020204" pitchFamily="34" charset="0"/>
            <a:ea typeface="+mn-ea"/>
            <a:cs typeface="+mn-cs"/>
          </a:endParaRPr>
        </a:p>
        <a:p>
          <a:pPr lvl="1"/>
          <a:endParaRPr lang="en-DK" sz="1000">
            <a:solidFill>
              <a:schemeClr val="dk1"/>
            </a:solidFill>
            <a:effectLst/>
            <a:latin typeface="Century Gothic" panose="020B0502020202020204" pitchFamily="34" charset="0"/>
            <a:ea typeface="+mn-ea"/>
            <a:cs typeface="+mn-cs"/>
          </a:endParaRPr>
        </a:p>
        <a:p>
          <a:endParaRPr lang="da-DK" sz="1000">
            <a:solidFill>
              <a:schemeClr val="dk1"/>
            </a:solidFill>
            <a:effectLst/>
            <a:latin typeface="Century Gothic" panose="020B0502020202020204" pitchFamily="34" charset="0"/>
            <a:ea typeface="+mn-ea"/>
            <a:cs typeface="+mn-cs"/>
          </a:endParaRPr>
        </a:p>
        <a:p>
          <a:endParaRPr lang="en-DK" sz="1000">
            <a:solidFill>
              <a:schemeClr val="dk1"/>
            </a:solidFill>
            <a:effectLst/>
            <a:latin typeface="Century Gothic" panose="020B0502020202020204" pitchFamily="34" charset="0"/>
            <a:ea typeface="+mn-ea"/>
            <a:cs typeface="+mn-cs"/>
          </a:endParaRPr>
        </a:p>
      </xdr:txBody>
    </xdr:sp>
    <xdr:clientData/>
  </xdr:twoCellAnchor>
  <xdr:twoCellAnchor>
    <xdr:from>
      <xdr:col>10</xdr:col>
      <xdr:colOff>0</xdr:colOff>
      <xdr:row>35</xdr:row>
      <xdr:rowOff>0</xdr:rowOff>
    </xdr:from>
    <xdr:to>
      <xdr:col>13</xdr:col>
      <xdr:colOff>34636</xdr:colOff>
      <xdr:row>48</xdr:row>
      <xdr:rowOff>187779</xdr:rowOff>
    </xdr:to>
    <xdr:sp macro="" textlink="">
      <xdr:nvSpPr>
        <xdr:cNvPr id="33" name="Tekstfelt 32">
          <a:extLst>
            <a:ext uri="{FF2B5EF4-FFF2-40B4-BE49-F238E27FC236}">
              <a16:creationId xmlns:a16="http://schemas.microsoft.com/office/drawing/2014/main" id="{1357A57F-1793-47BB-904B-0D112AD5FD32}"/>
            </a:ext>
          </a:extLst>
        </xdr:cNvPr>
        <xdr:cNvSpPr txBox="1"/>
      </xdr:nvSpPr>
      <xdr:spPr>
        <a:xfrm>
          <a:off x="13057909" y="9715500"/>
          <a:ext cx="5507182" cy="2664279"/>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600" b="1">
              <a:solidFill>
                <a:schemeClr val="dk1"/>
              </a:solidFill>
              <a:effectLst/>
              <a:latin typeface="Century Gothic" panose="020B0502020202020204" pitchFamily="34" charset="0"/>
              <a:ea typeface="+mn-ea"/>
              <a:cs typeface="+mn-cs"/>
            </a:rPr>
            <a:t>Potentiel</a:t>
          </a:r>
          <a:r>
            <a:rPr lang="da-DK" sz="1600" b="1" baseline="0">
              <a:solidFill>
                <a:schemeClr val="dk1"/>
              </a:solidFill>
              <a:effectLst/>
              <a:latin typeface="Century Gothic" panose="020B0502020202020204" pitchFamily="34" charset="0"/>
              <a:ea typeface="+mn-ea"/>
              <a:cs typeface="+mn-cs"/>
            </a:rPr>
            <a:t> outputmængde </a:t>
          </a:r>
          <a:br>
            <a:rPr lang="da-DK" sz="1600" b="1" baseline="0">
              <a:solidFill>
                <a:schemeClr val="dk1"/>
              </a:solidFill>
              <a:effectLst/>
              <a:latin typeface="Century Gothic" panose="020B0502020202020204" pitchFamily="34" charset="0"/>
              <a:ea typeface="+mn-ea"/>
              <a:cs typeface="+mn-cs"/>
            </a:rPr>
          </a:br>
          <a:endParaRPr lang="da-DK" sz="1600" b="1" baseline="0">
            <a:solidFill>
              <a:schemeClr val="dk1"/>
            </a:solidFill>
            <a:effectLst/>
            <a:latin typeface="Century Gothic" panose="020B0502020202020204" pitchFamily="34" charset="0"/>
            <a:ea typeface="+mn-ea"/>
            <a:cs typeface="+mn-cs"/>
          </a:endParaRPr>
        </a:p>
        <a:p>
          <a:r>
            <a:rPr lang="da-DK" sz="1400" b="0" baseline="0">
              <a:solidFill>
                <a:schemeClr val="dk1"/>
              </a:solidFill>
              <a:effectLst/>
              <a:latin typeface="Century Gothic" panose="020B0502020202020204" pitchFamily="34" charset="0"/>
              <a:ea typeface="+mn-ea"/>
              <a:cs typeface="+mn-cs"/>
            </a:rPr>
            <a:t>Denne reference illustrerer, hvor mange nye boliger man kan bygge med de screenede materialer, hvis de(t) anbefalede cirkuleringsgreb realiseres. </a:t>
          </a:r>
        </a:p>
        <a:p>
          <a:endParaRPr lang="da-DK" sz="1400" b="0" baseline="0">
            <a:solidFill>
              <a:schemeClr val="dk1"/>
            </a:solidFill>
            <a:effectLst/>
            <a:latin typeface="Century Gothic" panose="020B0502020202020204" pitchFamily="34" charset="0"/>
            <a:ea typeface="+mn-ea"/>
            <a:cs typeface="+mn-cs"/>
          </a:endParaRPr>
        </a:p>
        <a:p>
          <a:r>
            <a:rPr lang="da-DK" sz="1400" b="0" baseline="0">
              <a:solidFill>
                <a:schemeClr val="dk1"/>
              </a:solidFill>
              <a:effectLst/>
              <a:latin typeface="Century Gothic" panose="020B0502020202020204" pitchFamily="34" charset="0"/>
              <a:ea typeface="+mn-ea"/>
              <a:cs typeface="+mn-cs"/>
            </a:rPr>
            <a:t>En referencebolig er beregnet ud fra et typisk 1-familiehus på 100m2 med et råhus af beton (samt indkørsel og lille have). </a:t>
          </a:r>
        </a:p>
        <a:p>
          <a:endParaRPr lang="da-DK" sz="1400" b="0" baseline="0">
            <a:solidFill>
              <a:schemeClr val="dk1"/>
            </a:solidFill>
            <a:effectLst/>
            <a:latin typeface="Century Gothic" panose="020B0502020202020204" pitchFamily="34" charset="0"/>
            <a:ea typeface="+mn-ea"/>
            <a:cs typeface="+mn-cs"/>
          </a:endParaRPr>
        </a:p>
        <a:p>
          <a:br>
            <a:rPr lang="da-DK" sz="1400" b="0" baseline="0">
              <a:solidFill>
                <a:schemeClr val="dk1"/>
              </a:solidFill>
              <a:effectLst/>
              <a:latin typeface="Century Gothic" panose="020B0502020202020204" pitchFamily="34" charset="0"/>
              <a:ea typeface="+mn-ea"/>
              <a:cs typeface="+mn-cs"/>
            </a:rPr>
          </a:br>
          <a:br>
            <a:rPr lang="da-DK" sz="1400" b="0" baseline="0">
              <a:solidFill>
                <a:schemeClr val="dk1"/>
              </a:solidFill>
              <a:effectLst/>
              <a:latin typeface="Century Gothic" panose="020B0502020202020204" pitchFamily="34" charset="0"/>
              <a:ea typeface="+mn-ea"/>
              <a:cs typeface="+mn-cs"/>
            </a:rPr>
          </a:br>
          <a:endParaRPr lang="en-GB" sz="1400" b="0">
            <a:solidFill>
              <a:schemeClr val="dk1"/>
            </a:solidFill>
            <a:effectLst/>
            <a:latin typeface="Century Gothic" panose="020B0502020202020204" pitchFamily="34" charset="0"/>
            <a:ea typeface="+mn-ea"/>
            <a:cs typeface="+mn-cs"/>
          </a:endParaRPr>
        </a:p>
        <a:p>
          <a:pPr lvl="1"/>
          <a:endParaRPr lang="en-DK" sz="1000">
            <a:solidFill>
              <a:schemeClr val="dk1"/>
            </a:solidFill>
            <a:effectLst/>
            <a:latin typeface="Century Gothic" panose="020B0502020202020204" pitchFamily="34" charset="0"/>
            <a:ea typeface="+mn-ea"/>
            <a:cs typeface="+mn-cs"/>
          </a:endParaRPr>
        </a:p>
        <a:p>
          <a:endParaRPr lang="da-DK" sz="1000">
            <a:solidFill>
              <a:schemeClr val="dk1"/>
            </a:solidFill>
            <a:effectLst/>
            <a:latin typeface="Century Gothic" panose="020B0502020202020204" pitchFamily="34" charset="0"/>
            <a:ea typeface="+mn-ea"/>
            <a:cs typeface="+mn-cs"/>
          </a:endParaRPr>
        </a:p>
        <a:p>
          <a:endParaRPr lang="en-DK" sz="1000">
            <a:solidFill>
              <a:schemeClr val="dk1"/>
            </a:solidFill>
            <a:effectLst/>
            <a:latin typeface="Century Gothic" panose="020B0502020202020204" pitchFamily="34"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340</xdr:row>
      <xdr:rowOff>1041</xdr:rowOff>
    </xdr:from>
    <xdr:to>
      <xdr:col>3</xdr:col>
      <xdr:colOff>2790422</xdr:colOff>
      <xdr:row>366</xdr:row>
      <xdr:rowOff>7102</xdr:rowOff>
    </xdr:to>
    <xdr:pic>
      <xdr:nvPicPr>
        <xdr:cNvPr id="5" name="Billed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1"/>
        <a:stretch>
          <a:fillRect/>
        </a:stretch>
      </xdr:blipFill>
      <xdr:spPr>
        <a:xfrm>
          <a:off x="0" y="54700478"/>
          <a:ext cx="11895070" cy="442422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10</xdr:col>
      <xdr:colOff>25241</xdr:colOff>
      <xdr:row>3</xdr:row>
      <xdr:rowOff>93819</xdr:rowOff>
    </xdr:from>
    <xdr:to>
      <xdr:col>21</xdr:col>
      <xdr:colOff>438336</xdr:colOff>
      <xdr:row>14</xdr:row>
      <xdr:rowOff>115084</xdr:rowOff>
    </xdr:to>
    <xdr:pic>
      <xdr:nvPicPr>
        <xdr:cNvPr id="2" name="Picture 2">
          <a:extLst>
            <a:ext uri="{FF2B5EF4-FFF2-40B4-BE49-F238E27FC236}">
              <a16:creationId xmlns:a16="http://schemas.microsoft.com/office/drawing/2014/main" id="{6CB81B52-F320-4786-B28C-E0420F08CAF2}"/>
            </a:ext>
          </a:extLst>
        </xdr:cNvPr>
        <xdr:cNvPicPr>
          <a:picLocks noChangeAspect="1"/>
        </xdr:cNvPicPr>
      </xdr:nvPicPr>
      <xdr:blipFill rotWithShape="1">
        <a:blip xmlns:r="http://schemas.openxmlformats.org/officeDocument/2006/relationships" r:embed="rId1"/>
        <a:srcRect t="36604"/>
        <a:stretch/>
      </xdr:blipFill>
      <xdr:spPr>
        <a:xfrm>
          <a:off x="6607016" y="1132044"/>
          <a:ext cx="7118695" cy="190721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2019_398%20TCW%20Omr&#229;de-%20og%20Byfornyelsen\05.%20Delivery\A)%20Screeningsv&#230;rkt&#248;j\04.%20V&#230;rkt&#248;j%202.0\Byrum_2.0\Byrum_Screeningsv&#230;rkt&#248;j_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irkuleringsgreb"/>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Tim Riis Tolman" id="{21E6EC23-3F81-4913-B9E7-EF16C2FCFDD1}" userId="S-1-5-21-19882557-3511897946-2802720358-1273" providerId="AD"/>
</personList>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W127" dT="2019-12-11T07:55:39.52" personId="{21E6EC23-3F81-4913-B9E7-EF16C2FCFDD1}" id="{8FC93EEB-A68A-45A9-9B92-68F987EEDFF8}">
    <text>https://www.bygningsbevaring.dk/uploads/files/udstillingsplancher/Tegltage-2017_til_print.pdf</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microsoft.com/office/2017/10/relationships/threadedComment" Target="../threadedComments/threadedComment1.xml"/><Relationship Id="rId3" Type="http://schemas.openxmlformats.org/officeDocument/2006/relationships/hyperlink" Target="http://www.truthstudio.com/content/CREEA_Global_Resource_Footprint_of_Nations.pdf" TargetMode="External"/><Relationship Id="rId7" Type="http://schemas.openxmlformats.org/officeDocument/2006/relationships/comments" Target="../comments1.xml"/><Relationship Id="rId2" Type="http://schemas.openxmlformats.org/officeDocument/2006/relationships/hyperlink" Target="https://www.dn.dk/vi-arbejder-for/baeredygtighed/affald/" TargetMode="External"/><Relationship Id="rId1" Type="http://schemas.openxmlformats.org/officeDocument/2006/relationships/hyperlink" Target="https://www.innobyg.dk/media/75876/materialeatlas.pdf" TargetMode="External"/><Relationship Id="rId6" Type="http://schemas.openxmlformats.org/officeDocument/2006/relationships/vmlDrawing" Target="../drawings/vmlDrawing1.vml"/><Relationship Id="rId5" Type="http://schemas.openxmlformats.org/officeDocument/2006/relationships/drawing" Target="../drawings/drawing3.xm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1657D-7021-4A39-BA40-7A0890B497D3}">
  <sheetPr>
    <tabColor rgb="FFB4C6E7"/>
  </sheetPr>
  <dimension ref="A1:AO1"/>
  <sheetViews>
    <sheetView zoomScale="85" zoomScaleNormal="85" workbookViewId="0">
      <selection activeCell="Q5" sqref="Q5"/>
    </sheetView>
  </sheetViews>
  <sheetFormatPr defaultRowHeight="15" x14ac:dyDescent="0.25"/>
  <cols>
    <col min="1" max="16384" width="9.140625" style="464"/>
  </cols>
  <sheetData>
    <row r="1" spans="1:41" ht="35.25" customHeight="1" x14ac:dyDescent="0.5">
      <c r="A1" s="533" t="s">
        <v>0</v>
      </c>
      <c r="B1" s="465"/>
      <c r="C1" s="465"/>
      <c r="D1" s="465"/>
      <c r="E1" s="465"/>
      <c r="F1" s="465"/>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row>
  </sheetData>
  <sheetProtection sheet="1" objects="1" scenarios="1"/>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6">
    <tabColor rgb="FFB4C6E7"/>
  </sheetPr>
  <dimension ref="B1:O69"/>
  <sheetViews>
    <sheetView zoomScale="70" zoomScaleNormal="70" workbookViewId="0">
      <pane xSplit="4" ySplit="2" topLeftCell="E3" activePane="bottomRight" state="frozen"/>
      <selection pane="topRight" activeCell="E1" sqref="E1"/>
      <selection pane="bottomLeft" activeCell="A3" sqref="A3"/>
      <selection pane="bottomRight" activeCell="H12" sqref="H12:J12"/>
    </sheetView>
  </sheetViews>
  <sheetFormatPr defaultColWidth="9.140625" defaultRowHeight="16.5" x14ac:dyDescent="0.3"/>
  <cols>
    <col min="1" max="3" width="9.140625" style="2"/>
    <col min="4" max="4" width="26.140625" style="2" customWidth="1"/>
    <col min="5" max="5" width="29.42578125" style="2" customWidth="1"/>
    <col min="6" max="6" width="27.85546875" style="2" customWidth="1"/>
    <col min="7" max="7" width="34.140625" style="2" customWidth="1"/>
    <col min="8" max="8" width="29.5703125" style="2" customWidth="1"/>
    <col min="9" max="9" width="20.140625" style="2" customWidth="1"/>
    <col min="10" max="10" width="28" style="2" customWidth="1"/>
    <col min="11" max="11" width="39.42578125" style="2" customWidth="1"/>
    <col min="12" max="12" width="30.85546875" style="2" customWidth="1"/>
    <col min="13" max="13" width="30" style="2" customWidth="1"/>
    <col min="14" max="14" width="38.85546875" style="2" customWidth="1"/>
    <col min="15" max="15" width="57.5703125" style="2" customWidth="1"/>
    <col min="16" max="18" width="9.140625" style="2"/>
    <col min="19" max="19" width="17.5703125" style="2" bestFit="1" customWidth="1"/>
    <col min="20" max="16384" width="9.140625" style="2"/>
  </cols>
  <sheetData>
    <row r="1" spans="2:12" s="439" customFormat="1" ht="57" customHeight="1" x14ac:dyDescent="0.5">
      <c r="D1" s="555" t="s">
        <v>0</v>
      </c>
      <c r="E1" s="555"/>
      <c r="F1" s="555"/>
      <c r="G1" s="555"/>
      <c r="H1" s="555"/>
      <c r="I1" s="555"/>
      <c r="J1" s="555"/>
    </row>
    <row r="2" spans="2:12" ht="12.75" customHeight="1" x14ac:dyDescent="0.3">
      <c r="D2" s="559"/>
      <c r="E2" s="559"/>
      <c r="F2" s="559"/>
      <c r="G2" s="559"/>
      <c r="H2" s="559"/>
      <c r="I2" s="559"/>
    </row>
    <row r="4" spans="2:12" ht="36.75" customHeight="1" x14ac:dyDescent="0.3">
      <c r="B4" s="569" t="s">
        <v>1</v>
      </c>
      <c r="C4" s="541"/>
      <c r="D4" s="60" t="s">
        <v>2</v>
      </c>
      <c r="E4" s="466" t="s">
        <v>3</v>
      </c>
      <c r="F4" s="470" t="s">
        <v>4</v>
      </c>
      <c r="G4" s="473" t="s">
        <v>5</v>
      </c>
      <c r="H4" s="556" t="s">
        <v>6</v>
      </c>
      <c r="I4" s="556"/>
      <c r="J4" s="556"/>
      <c r="K4" s="444" t="s">
        <v>7</v>
      </c>
      <c r="L4" s="63"/>
    </row>
    <row r="5" spans="2:12" ht="80.25" customHeight="1" x14ac:dyDescent="0.3">
      <c r="B5" s="569"/>
      <c r="C5" s="541"/>
      <c r="D5" s="561" t="s">
        <v>8</v>
      </c>
      <c r="E5" s="467" t="s">
        <v>9</v>
      </c>
      <c r="F5" s="471" t="s">
        <v>10</v>
      </c>
      <c r="G5" s="474" t="s">
        <v>11</v>
      </c>
      <c r="H5" s="557" t="s">
        <v>12</v>
      </c>
      <c r="I5" s="557"/>
      <c r="J5" s="557"/>
      <c r="K5" s="476" t="s">
        <v>13</v>
      </c>
    </row>
    <row r="6" spans="2:12" ht="30.75" customHeight="1" x14ac:dyDescent="0.3">
      <c r="B6" s="569"/>
      <c r="C6" s="541"/>
      <c r="D6" s="561"/>
      <c r="E6" s="468" t="s">
        <v>14</v>
      </c>
      <c r="F6" s="472" t="s">
        <v>15</v>
      </c>
      <c r="G6" s="475" t="s">
        <v>16</v>
      </c>
      <c r="H6" s="560" t="s">
        <v>17</v>
      </c>
      <c r="I6" s="560"/>
      <c r="J6" s="560"/>
      <c r="K6" s="446"/>
    </row>
    <row r="7" spans="2:12" ht="80.25" customHeight="1" x14ac:dyDescent="0.3">
      <c r="B7" s="569"/>
      <c r="C7" s="541"/>
      <c r="D7" s="561"/>
      <c r="E7" s="495" t="s">
        <v>18</v>
      </c>
      <c r="F7" s="496">
        <v>0</v>
      </c>
      <c r="G7" s="497" t="s">
        <v>19</v>
      </c>
      <c r="H7" s="558" t="s">
        <v>20</v>
      </c>
      <c r="I7" s="558"/>
      <c r="J7" s="558"/>
      <c r="K7" s="447"/>
      <c r="L7" s="13"/>
    </row>
    <row r="8" spans="2:12" ht="48" customHeight="1" x14ac:dyDescent="0.3">
      <c r="B8" s="569"/>
      <c r="C8" s="541"/>
      <c r="D8" s="8"/>
      <c r="E8" s="11"/>
      <c r="F8" s="9"/>
      <c r="G8" s="10"/>
      <c r="H8" s="10"/>
      <c r="J8" s="10"/>
      <c r="K8" s="13"/>
      <c r="L8" s="13"/>
    </row>
    <row r="9" spans="2:12" ht="36.75" customHeight="1" x14ac:dyDescent="0.3">
      <c r="B9" s="569"/>
      <c r="C9" s="541"/>
      <c r="D9" s="60" t="s">
        <v>2</v>
      </c>
      <c r="E9" s="466" t="s">
        <v>3</v>
      </c>
      <c r="F9" s="470" t="s">
        <v>4</v>
      </c>
      <c r="G9" s="473" t="s">
        <v>5</v>
      </c>
      <c r="H9" s="556" t="s">
        <v>6</v>
      </c>
      <c r="I9" s="556"/>
      <c r="J9" s="556"/>
      <c r="K9" s="444" t="s">
        <v>7</v>
      </c>
      <c r="L9" s="13"/>
    </row>
    <row r="10" spans="2:12" ht="65.099999999999994" customHeight="1" x14ac:dyDescent="0.3">
      <c r="B10" s="569"/>
      <c r="C10" s="541"/>
      <c r="D10" s="561" t="s">
        <v>21</v>
      </c>
      <c r="E10" s="469" t="s">
        <v>9</v>
      </c>
      <c r="F10" s="471" t="s">
        <v>10</v>
      </c>
      <c r="G10" s="474" t="s">
        <v>22</v>
      </c>
      <c r="H10" s="562" t="s">
        <v>23</v>
      </c>
      <c r="I10" s="563"/>
      <c r="J10" s="564"/>
      <c r="K10" s="476" t="s">
        <v>24</v>
      </c>
      <c r="L10" s="12"/>
    </row>
    <row r="11" spans="2:12" ht="30.75" customHeight="1" x14ac:dyDescent="0.3">
      <c r="B11" s="569"/>
      <c r="C11" s="541"/>
      <c r="D11" s="561"/>
      <c r="E11" s="468" t="s">
        <v>14</v>
      </c>
      <c r="F11" s="472" t="s">
        <v>15</v>
      </c>
      <c r="G11" s="475" t="s">
        <v>16</v>
      </c>
      <c r="H11" s="565" t="s">
        <v>17</v>
      </c>
      <c r="I11" s="566"/>
      <c r="J11" s="567"/>
      <c r="K11" s="446"/>
      <c r="L11" s="12"/>
    </row>
    <row r="12" spans="2:12" ht="72.75" customHeight="1" x14ac:dyDescent="0.3">
      <c r="B12" s="569"/>
      <c r="C12" s="541"/>
      <c r="D12" s="561"/>
      <c r="E12" s="495" t="s">
        <v>18</v>
      </c>
      <c r="F12" s="496">
        <v>0</v>
      </c>
      <c r="G12" s="497" t="s">
        <v>19</v>
      </c>
      <c r="H12" s="570" t="s">
        <v>20</v>
      </c>
      <c r="I12" s="571"/>
      <c r="J12" s="572"/>
      <c r="K12" s="447"/>
    </row>
    <row r="13" spans="2:12" ht="48" customHeight="1" x14ac:dyDescent="0.3">
      <c r="B13" s="569"/>
      <c r="C13" s="541"/>
      <c r="D13" s="8"/>
      <c r="E13" s="11"/>
      <c r="F13" s="9"/>
      <c r="G13" s="11"/>
      <c r="H13" s="11"/>
      <c r="I13" s="10"/>
      <c r="J13" s="10"/>
      <c r="K13" s="10"/>
    </row>
    <row r="14" spans="2:12" ht="36.75" customHeight="1" x14ac:dyDescent="0.3">
      <c r="B14" s="569"/>
      <c r="C14" s="541"/>
      <c r="D14" s="60" t="s">
        <v>2</v>
      </c>
      <c r="E14" s="466" t="s">
        <v>3</v>
      </c>
      <c r="F14" s="470" t="s">
        <v>4</v>
      </c>
      <c r="G14" s="473" t="s">
        <v>5</v>
      </c>
      <c r="H14" s="556" t="s">
        <v>6</v>
      </c>
      <c r="I14" s="556"/>
      <c r="J14" s="556"/>
      <c r="K14" s="444" t="s">
        <v>7</v>
      </c>
    </row>
    <row r="15" spans="2:12" ht="65.099999999999994" customHeight="1" x14ac:dyDescent="0.3">
      <c r="B15" s="569"/>
      <c r="C15" s="541"/>
      <c r="D15" s="561" t="s">
        <v>25</v>
      </c>
      <c r="E15" s="469" t="s">
        <v>9</v>
      </c>
      <c r="F15" s="471" t="s">
        <v>10</v>
      </c>
      <c r="G15" s="474" t="s">
        <v>26</v>
      </c>
      <c r="H15" s="543" t="s">
        <v>27</v>
      </c>
      <c r="I15" s="562" t="s">
        <v>28</v>
      </c>
      <c r="J15" s="564"/>
      <c r="K15" s="477" t="s">
        <v>29</v>
      </c>
      <c r="L15" s="5"/>
    </row>
    <row r="16" spans="2:12" ht="30.75" customHeight="1" x14ac:dyDescent="0.3">
      <c r="B16" s="569"/>
      <c r="C16" s="541"/>
      <c r="D16" s="561"/>
      <c r="E16" s="468" t="s">
        <v>14</v>
      </c>
      <c r="F16" s="472" t="s">
        <v>30</v>
      </c>
      <c r="G16" s="475" t="s">
        <v>16</v>
      </c>
      <c r="H16" s="545" t="s">
        <v>17</v>
      </c>
      <c r="I16" s="565" t="s">
        <v>17</v>
      </c>
      <c r="J16" s="567"/>
      <c r="K16" s="573" t="s">
        <v>31</v>
      </c>
      <c r="L16" s="5"/>
    </row>
    <row r="17" spans="2:12" ht="102.75" customHeight="1" x14ac:dyDescent="0.3">
      <c r="B17" s="569"/>
      <c r="C17" s="541"/>
      <c r="D17" s="561"/>
      <c r="E17" s="495" t="s">
        <v>18</v>
      </c>
      <c r="F17" s="496">
        <v>0</v>
      </c>
      <c r="G17" s="497" t="s">
        <v>19</v>
      </c>
      <c r="H17" s="544" t="s">
        <v>20</v>
      </c>
      <c r="I17" s="575" t="s">
        <v>20</v>
      </c>
      <c r="J17" s="576"/>
      <c r="K17" s="574"/>
      <c r="L17" s="65"/>
    </row>
    <row r="18" spans="2:12" x14ac:dyDescent="0.3">
      <c r="B18" s="14"/>
      <c r="C18" s="14"/>
    </row>
    <row r="19" spans="2:12" x14ac:dyDescent="0.3">
      <c r="B19" s="14"/>
      <c r="C19" s="14"/>
    </row>
    <row r="20" spans="2:12" x14ac:dyDescent="0.3">
      <c r="B20" s="14"/>
      <c r="C20" s="14"/>
    </row>
    <row r="23" spans="2:12" ht="38.25" customHeight="1" x14ac:dyDescent="0.3"/>
    <row r="24" spans="2:12" ht="12.75" customHeight="1" x14ac:dyDescent="0.3"/>
    <row r="25" spans="2:12" ht="79.5" customHeight="1" x14ac:dyDescent="0.3">
      <c r="B25" s="568"/>
      <c r="C25" s="540"/>
    </row>
    <row r="26" spans="2:12" x14ac:dyDescent="0.3">
      <c r="B26" s="568"/>
      <c r="C26" s="540"/>
    </row>
    <row r="27" spans="2:12" ht="18" customHeight="1" x14ac:dyDescent="0.3">
      <c r="B27" s="568"/>
      <c r="C27" s="540"/>
    </row>
    <row r="28" spans="2:12" ht="158.25" customHeight="1" x14ac:dyDescent="0.3">
      <c r="B28" s="568"/>
      <c r="C28" s="540"/>
    </row>
    <row r="29" spans="2:12" ht="18" customHeight="1" x14ac:dyDescent="0.3">
      <c r="B29" s="568"/>
      <c r="C29" s="540"/>
    </row>
    <row r="30" spans="2:12" ht="145.5" customHeight="1" x14ac:dyDescent="0.3">
      <c r="B30" s="568"/>
      <c r="C30" s="462"/>
    </row>
    <row r="31" spans="2:12" ht="18" customHeight="1" x14ac:dyDescent="0.3">
      <c r="B31" s="568"/>
      <c r="C31" s="540"/>
    </row>
    <row r="32" spans="2:12" ht="147.75" customHeight="1" x14ac:dyDescent="0.3">
      <c r="B32" s="568"/>
      <c r="C32" s="540"/>
    </row>
    <row r="33" spans="7:15" ht="18" customHeight="1" x14ac:dyDescent="0.3"/>
    <row r="34" spans="7:15" x14ac:dyDescent="0.3">
      <c r="G34" s="29"/>
      <c r="H34" s="30"/>
      <c r="I34" s="30"/>
      <c r="J34" s="30"/>
      <c r="K34" s="29"/>
      <c r="L34" s="30"/>
      <c r="M34" s="29"/>
      <c r="N34" s="29"/>
      <c r="O34" s="29"/>
    </row>
    <row r="35" spans="7:15" x14ac:dyDescent="0.3">
      <c r="I35" s="31"/>
      <c r="J35" s="31"/>
      <c r="K35" s="31"/>
      <c r="L35" s="31"/>
      <c r="M35" s="31"/>
      <c r="N35" s="31"/>
      <c r="O35" s="31"/>
    </row>
    <row r="38" spans="7:15" ht="51.75" customHeight="1" x14ac:dyDescent="0.3"/>
    <row r="50" spans="15:15" x14ac:dyDescent="0.3">
      <c r="O50" s="87"/>
    </row>
    <row r="56" spans="15:15" ht="17.25" customHeight="1" x14ac:dyDescent="0.3"/>
    <row r="68" spans="2:2" ht="51.75" customHeight="1" x14ac:dyDescent="0.3"/>
    <row r="69" spans="2:2" x14ac:dyDescent="0.3">
      <c r="B69" s="14"/>
    </row>
  </sheetData>
  <sheetProtection sheet="1" objects="1" scenarios="1"/>
  <mergeCells count="20">
    <mergeCell ref="I16:J16"/>
    <mergeCell ref="B25:B32"/>
    <mergeCell ref="B4:B17"/>
    <mergeCell ref="H12:J12"/>
    <mergeCell ref="K16:K17"/>
    <mergeCell ref="D15:D17"/>
    <mergeCell ref="I17:J17"/>
    <mergeCell ref="I15:J15"/>
    <mergeCell ref="D1:J1"/>
    <mergeCell ref="H9:J9"/>
    <mergeCell ref="H14:J14"/>
    <mergeCell ref="H5:J5"/>
    <mergeCell ref="H7:J7"/>
    <mergeCell ref="D2:I2"/>
    <mergeCell ref="H4:J4"/>
    <mergeCell ref="H6:J6"/>
    <mergeCell ref="D5:D7"/>
    <mergeCell ref="D10:D12"/>
    <mergeCell ref="H10:J10"/>
    <mergeCell ref="H11:J11"/>
  </mergeCells>
  <dataValidations count="5">
    <dataValidation type="list" allowBlank="1" showInputMessage="1" showErrorMessage="1" promptTitle="Anvend scroll-down menu" prompt="Klik på pilen_x000a_" sqref="H17" xr:uid="{5843A692-E026-486E-8AF4-391B13E9FBD9}">
      <formula1>"Klik her,Ja,Nej"</formula1>
    </dataValidation>
    <dataValidation type="list" allowBlank="1" showInputMessage="1" showErrorMessage="1" sqref="H8" xr:uid="{EF95FBA7-D96A-4FC7-AB24-A3E7D221B961}">
      <formula1>"Kalk,Cement,Andet,Der er ikke under eller overstrygning"</formula1>
    </dataValidation>
    <dataValidation type="list" allowBlank="1" showInputMessage="1" showErrorMessage="1" promptTitle="Anvend scroll-down menu" prompt="Klik på pilen" sqref="I17:J17" xr:uid="{640ACFB9-C907-4598-985A-C3F070601716}">
      <formula1>"Klik her,Kalk,Cement,Andet"</formula1>
    </dataValidation>
    <dataValidation type="list" allowBlank="1" showInputMessage="1" showErrorMessage="1" promptTitle="Anvend scroll-down menu" prompt="Klik på pilen" sqref="H7:J7" xr:uid="{651D3CBC-345B-4315-A7AA-7C772A02F67E}">
      <formula1>"Klik her,Kalk,Cement,Andet,Der er ikke under eller overstrygning"</formula1>
    </dataValidation>
    <dataValidation type="list" allowBlank="1" showInputMessage="1" showErrorMessage="1" promptTitle="Anvend scroll-down menu" prompt="Klik på pilen" sqref="H12:J12" xr:uid="{CFF7BE62-7DE6-43A9-B084-A1191D63BBBA}">
      <formula1>"Klik her,1, 2, 3"</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C5A60-DF75-445A-8535-3B1C527B0FDC}">
  <sheetPr>
    <tabColor rgb="FFB4C6E7"/>
  </sheetPr>
  <dimension ref="B1:P69"/>
  <sheetViews>
    <sheetView zoomScale="60" zoomScaleNormal="60" workbookViewId="0">
      <pane xSplit="4" ySplit="23" topLeftCell="F24" activePane="bottomRight" state="frozen"/>
      <selection pane="topRight" activeCell="E1" sqref="E1"/>
      <selection pane="bottomLeft" activeCell="A24" sqref="A24"/>
      <selection pane="bottomRight" activeCell="H44" sqref="H44"/>
    </sheetView>
  </sheetViews>
  <sheetFormatPr defaultColWidth="9.140625" defaultRowHeight="16.5" x14ac:dyDescent="0.3"/>
  <cols>
    <col min="1" max="3" width="9.140625" style="2"/>
    <col min="4" max="4" width="26.140625" style="2" customWidth="1"/>
    <col min="5" max="5" width="29.42578125" style="2" customWidth="1"/>
    <col min="6" max="6" width="27.85546875" style="2" customWidth="1"/>
    <col min="7" max="7" width="46" style="2" customWidth="1"/>
    <col min="8" max="8" width="29.5703125" style="2" customWidth="1"/>
    <col min="9" max="9" width="32" style="2" customWidth="1"/>
    <col min="10" max="10" width="28" style="2" customWidth="1"/>
    <col min="11" max="11" width="36.140625" style="2" customWidth="1"/>
    <col min="12" max="12" width="23.5703125" style="2" customWidth="1"/>
    <col min="13" max="13" width="34.85546875" style="2" customWidth="1"/>
    <col min="14" max="14" width="30" style="2" customWidth="1"/>
    <col min="15" max="15" width="33.140625" style="2" customWidth="1"/>
    <col min="16" max="16" width="56.28515625" style="2" customWidth="1"/>
    <col min="17" max="19" width="9.140625" style="2"/>
    <col min="20" max="20" width="17.5703125" style="2" bestFit="1" customWidth="1"/>
    <col min="21" max="16384" width="9.140625" style="2"/>
  </cols>
  <sheetData>
    <row r="1" spans="2:13" s="439" customFormat="1" ht="57" customHeight="1" x14ac:dyDescent="0.5">
      <c r="D1" s="555" t="s">
        <v>0</v>
      </c>
      <c r="E1" s="555"/>
      <c r="F1" s="555"/>
      <c r="G1" s="555"/>
      <c r="H1" s="555"/>
      <c r="I1" s="555"/>
      <c r="J1" s="555"/>
      <c r="K1" s="542"/>
    </row>
    <row r="2" spans="2:13" ht="22.5" customHeight="1" x14ac:dyDescent="0.3">
      <c r="D2" s="559"/>
      <c r="E2" s="559"/>
      <c r="F2" s="559"/>
      <c r="G2" s="559"/>
      <c r="H2" s="559"/>
      <c r="I2" s="559"/>
    </row>
    <row r="3" spans="2:13" ht="9.75" hidden="1" customHeight="1" x14ac:dyDescent="0.3"/>
    <row r="4" spans="2:13" ht="36.6" hidden="1" customHeight="1" x14ac:dyDescent="0.3">
      <c r="B4" s="569"/>
      <c r="C4" s="541"/>
      <c r="D4" s="60"/>
      <c r="E4" s="61"/>
      <c r="F4" s="62"/>
      <c r="G4" s="260"/>
      <c r="H4" s="586"/>
      <c r="I4" s="586"/>
      <c r="J4" s="586"/>
      <c r="K4" s="546"/>
      <c r="L4" s="444"/>
      <c r="M4" s="63"/>
    </row>
    <row r="5" spans="2:13" ht="80.099999999999994" hidden="1" customHeight="1" x14ac:dyDescent="0.3">
      <c r="B5" s="569"/>
      <c r="C5" s="541"/>
      <c r="D5" s="561"/>
      <c r="E5" s="3"/>
      <c r="F5" s="4"/>
      <c r="G5" s="261"/>
      <c r="H5" s="589"/>
      <c r="I5" s="589"/>
      <c r="J5" s="589"/>
      <c r="K5" s="483"/>
      <c r="L5" s="445"/>
    </row>
    <row r="6" spans="2:13" ht="29.45" hidden="1" customHeight="1" x14ac:dyDescent="0.3">
      <c r="B6" s="569"/>
      <c r="C6" s="541"/>
      <c r="D6" s="561"/>
      <c r="E6" s="6"/>
      <c r="F6" s="7"/>
      <c r="G6" s="262"/>
      <c r="H6" s="590"/>
      <c r="I6" s="590"/>
      <c r="J6" s="590"/>
      <c r="K6" s="484"/>
      <c r="L6" s="446"/>
    </row>
    <row r="7" spans="2:13" ht="80.099999999999994" hidden="1" customHeight="1" x14ac:dyDescent="0.3">
      <c r="B7" s="569"/>
      <c r="C7" s="541"/>
      <c r="D7" s="561"/>
      <c r="E7" s="264"/>
      <c r="F7" s="263"/>
      <c r="G7" s="266"/>
      <c r="H7" s="591"/>
      <c r="I7" s="591"/>
      <c r="J7" s="591"/>
      <c r="K7" s="485"/>
      <c r="L7" s="447"/>
      <c r="M7" s="13"/>
    </row>
    <row r="8" spans="2:13" ht="48" hidden="1" customHeight="1" x14ac:dyDescent="0.3">
      <c r="B8" s="569"/>
      <c r="C8" s="541"/>
      <c r="D8" s="8"/>
      <c r="E8" s="11"/>
      <c r="F8" s="9"/>
      <c r="G8" s="10"/>
      <c r="H8" s="10"/>
      <c r="J8" s="10"/>
      <c r="K8" s="10"/>
      <c r="L8" s="13"/>
      <c r="M8" s="13"/>
    </row>
    <row r="9" spans="2:13" ht="36.6" hidden="1" customHeight="1" x14ac:dyDescent="0.3">
      <c r="B9" s="569"/>
      <c r="C9" s="541"/>
      <c r="D9" s="60"/>
      <c r="E9" s="61"/>
      <c r="F9" s="62"/>
      <c r="G9" s="260"/>
      <c r="H9" s="586"/>
      <c r="I9" s="586"/>
      <c r="J9" s="586"/>
      <c r="K9" s="486"/>
      <c r="L9" s="13"/>
      <c r="M9" s="13"/>
    </row>
    <row r="10" spans="2:13" ht="65.099999999999994" hidden="1" customHeight="1" x14ac:dyDescent="0.3">
      <c r="B10" s="569"/>
      <c r="C10" s="541"/>
      <c r="D10" s="561"/>
      <c r="E10" s="64"/>
      <c r="F10" s="4"/>
      <c r="G10" s="261"/>
      <c r="H10" s="577"/>
      <c r="I10" s="578"/>
      <c r="J10" s="579"/>
      <c r="K10" s="487"/>
      <c r="L10" s="5"/>
      <c r="M10" s="12"/>
    </row>
    <row r="11" spans="2:13" ht="30.6" hidden="1" customHeight="1" x14ac:dyDescent="0.3">
      <c r="B11" s="569"/>
      <c r="C11" s="541"/>
      <c r="D11" s="561"/>
      <c r="E11" s="6"/>
      <c r="F11" s="7"/>
      <c r="G11" s="262"/>
      <c r="H11" s="580"/>
      <c r="I11" s="581"/>
      <c r="J11" s="582"/>
      <c r="K11" s="488"/>
      <c r="L11" s="5"/>
      <c r="M11" s="12"/>
    </row>
    <row r="12" spans="2:13" ht="72.599999999999994" hidden="1" customHeight="1" x14ac:dyDescent="0.3">
      <c r="B12" s="569"/>
      <c r="C12" s="541"/>
      <c r="D12" s="561"/>
      <c r="E12" s="264"/>
      <c r="F12" s="263"/>
      <c r="G12" s="265"/>
      <c r="H12" s="583"/>
      <c r="I12" s="584"/>
      <c r="J12" s="585"/>
      <c r="K12" s="489"/>
      <c r="L12" s="10"/>
    </row>
    <row r="13" spans="2:13" ht="48" hidden="1" customHeight="1" x14ac:dyDescent="0.3">
      <c r="B13" s="569"/>
      <c r="C13" s="541"/>
      <c r="D13" s="8"/>
      <c r="E13" s="11"/>
      <c r="F13" s="9"/>
      <c r="G13" s="11"/>
      <c r="H13" s="11"/>
      <c r="I13" s="10"/>
      <c r="J13" s="10"/>
      <c r="K13" s="10"/>
      <c r="L13" s="10"/>
    </row>
    <row r="14" spans="2:13" ht="36.6" hidden="1" customHeight="1" x14ac:dyDescent="0.3">
      <c r="B14" s="569"/>
      <c r="C14" s="541"/>
      <c r="D14" s="60"/>
      <c r="E14" s="61"/>
      <c r="F14" s="62"/>
      <c r="G14" s="260"/>
      <c r="H14" s="586"/>
      <c r="I14" s="586"/>
      <c r="J14" s="586"/>
      <c r="K14" s="546"/>
      <c r="L14" s="444"/>
    </row>
    <row r="15" spans="2:13" ht="65.099999999999994" hidden="1" customHeight="1" x14ac:dyDescent="0.3">
      <c r="B15" s="569"/>
      <c r="C15" s="541"/>
      <c r="D15" s="561"/>
      <c r="E15" s="64"/>
      <c r="F15" s="4"/>
      <c r="G15" s="261"/>
      <c r="H15" s="547"/>
      <c r="I15" s="577"/>
      <c r="J15" s="579"/>
      <c r="K15" s="490"/>
      <c r="L15" s="448"/>
      <c r="M15" s="5"/>
    </row>
    <row r="16" spans="2:13" ht="30.6" hidden="1" customHeight="1" x14ac:dyDescent="0.3">
      <c r="B16" s="569"/>
      <c r="C16" s="541"/>
      <c r="D16" s="561"/>
      <c r="E16" s="6"/>
      <c r="F16" s="7"/>
      <c r="G16" s="262"/>
      <c r="H16" s="548"/>
      <c r="I16" s="580"/>
      <c r="J16" s="582"/>
      <c r="K16" s="491"/>
      <c r="L16" s="446"/>
      <c r="M16" s="5"/>
    </row>
    <row r="17" spans="2:16" ht="102.6" hidden="1" customHeight="1" x14ac:dyDescent="0.3">
      <c r="B17" s="569"/>
      <c r="C17" s="541"/>
      <c r="D17" s="561"/>
      <c r="E17" s="264"/>
      <c r="F17" s="263"/>
      <c r="G17" s="265"/>
      <c r="H17" s="549"/>
      <c r="I17" s="587"/>
      <c r="J17" s="588"/>
      <c r="K17" s="492"/>
      <c r="L17" s="449"/>
      <c r="M17" s="65"/>
    </row>
    <row r="18" spans="2:16" ht="1.5" hidden="1" customHeight="1" x14ac:dyDescent="0.3">
      <c r="B18" s="14"/>
      <c r="C18" s="14"/>
    </row>
    <row r="19" spans="2:16" hidden="1" x14ac:dyDescent="0.3">
      <c r="B19" s="14"/>
      <c r="C19" s="14"/>
    </row>
    <row r="20" spans="2:16" hidden="1" x14ac:dyDescent="0.3">
      <c r="B20" s="14"/>
      <c r="C20" s="14"/>
    </row>
    <row r="21" spans="2:16" hidden="1" x14ac:dyDescent="0.3"/>
    <row r="22" spans="2:16" hidden="1" x14ac:dyDescent="0.3"/>
    <row r="23" spans="2:16" ht="30.75" hidden="1" customHeight="1" x14ac:dyDescent="0.4">
      <c r="D23" s="443"/>
      <c r="E23" s="66"/>
      <c r="F23" s="67"/>
      <c r="G23" s="67"/>
      <c r="H23" s="67"/>
      <c r="I23" s="66"/>
      <c r="J23" s="66"/>
      <c r="K23" s="66"/>
    </row>
    <row r="24" spans="2:16" ht="12.75" customHeight="1" x14ac:dyDescent="0.3"/>
    <row r="25" spans="2:16" ht="79.5" customHeight="1" x14ac:dyDescent="0.3">
      <c r="B25" s="568" t="s">
        <v>32</v>
      </c>
      <c r="C25" s="540"/>
      <c r="D25" s="16" t="s">
        <v>2</v>
      </c>
      <c r="E25" s="16" t="s">
        <v>3</v>
      </c>
      <c r="F25" s="68" t="s">
        <v>33</v>
      </c>
      <c r="G25" s="17" t="s">
        <v>34</v>
      </c>
      <c r="H25" s="18" t="s">
        <v>35</v>
      </c>
      <c r="I25" s="19" t="s">
        <v>36</v>
      </c>
      <c r="J25" s="17" t="s">
        <v>37</v>
      </c>
      <c r="K25" s="18" t="s">
        <v>38</v>
      </c>
      <c r="L25" s="19" t="s">
        <v>39</v>
      </c>
      <c r="M25" s="17" t="s">
        <v>40</v>
      </c>
      <c r="N25" s="19" t="s">
        <v>41</v>
      </c>
      <c r="O25" s="18" t="s">
        <v>42</v>
      </c>
      <c r="P25" s="19" t="s">
        <v>43</v>
      </c>
    </row>
    <row r="26" spans="2:16" x14ac:dyDescent="0.3">
      <c r="B26" s="568"/>
      <c r="C26" s="540"/>
      <c r="D26" s="431" t="s">
        <v>44</v>
      </c>
      <c r="E26" s="431"/>
      <c r="F26" s="432" t="s">
        <v>45</v>
      </c>
      <c r="G26" s="433"/>
      <c r="H26" s="434"/>
      <c r="I26" s="435"/>
      <c r="J26" s="436" t="s">
        <v>46</v>
      </c>
      <c r="K26" s="434"/>
      <c r="L26" s="437" t="s">
        <v>47</v>
      </c>
      <c r="M26" s="436" t="s">
        <v>46</v>
      </c>
      <c r="N26" s="438" t="s">
        <v>45</v>
      </c>
      <c r="O26" s="434" t="s">
        <v>48</v>
      </c>
      <c r="P26" s="438"/>
    </row>
    <row r="27" spans="2:16" ht="18" customHeight="1" x14ac:dyDescent="0.3">
      <c r="B27" s="568"/>
      <c r="C27" s="540"/>
      <c r="D27" s="69"/>
      <c r="E27" s="69"/>
      <c r="F27" s="70"/>
      <c r="G27" s="69"/>
      <c r="H27" s="70"/>
      <c r="I27" s="71"/>
      <c r="J27" s="69"/>
      <c r="K27" s="70"/>
      <c r="L27" s="71"/>
      <c r="M27" s="69"/>
      <c r="N27" s="71"/>
      <c r="O27" s="70"/>
      <c r="P27" s="71"/>
    </row>
    <row r="28" spans="2:16" ht="158.25" customHeight="1" x14ac:dyDescent="0.3">
      <c r="B28" s="568"/>
      <c r="C28" s="540"/>
      <c r="D28" s="20" t="s">
        <v>8</v>
      </c>
      <c r="E28" s="21" t="str">
        <f>IF(INPUT!E7="Skriv her","-",INPUT!E7)</f>
        <v>-</v>
      </c>
      <c r="F28" s="72">
        <f>IF(INPUT!F7="Tast her","-",INPUT!F7)</f>
        <v>0</v>
      </c>
      <c r="G28" s="21" t="e" cm="1">
        <f t="array" ref="G28">(_xlfn.IFS(AND(INPUT!$H$7=Argumenter!A37),Argumenter!B37,AND(INPUT!$H$7=Argumenter!A39),Argumenter!B39,AND(INPUT!$H$7=Argumenter!A40),Argumenter!B40,AND(INPUT!$H$7=Argumenter!A41),Argumenter!B41,AND(INPUT!$H$7="-"),"-"))</f>
        <v>#N/A</v>
      </c>
      <c r="H28" s="72" t="e" cm="1">
        <f t="array" ref="H28">(_xlfn.IFS(AND(Cirkuleringsgreb!E6=Argumenter!B490),Cirkuleringsgreb!F6,AND(Cirkuleringsgreb!E6=Argumenter!B491,Cirkuleringsgreb!E7=Argumenter!B490),Cirkuleringsgreb!F7,AND(Cirkuleringsgreb!E6=Argumenter!B491,Cirkuleringsgreb!E7=Argumenter!B491,Cirkuleringsgreb!E8=Argumenter!B490),Cirkuleringsgreb!F8))</f>
        <v>#N/A</v>
      </c>
      <c r="I28" s="22" t="e" cm="1">
        <f t="array" ref="I28">(_xlfn.IFS(AND($H$28=Cirkuleringsgreb!C6),Cirkuleringsgreb!D6,AND($H$28=Cirkuleringsgreb!C7),Cirkuleringsgreb!D7,AND($H$28=Cirkuleringsgreb!C8),Cirkuleringsgreb!D8))</f>
        <v>#N/A</v>
      </c>
      <c r="J28" s="24" t="e" cm="1">
        <f t="array" ref="J28">(_xlfn.IFS(AND($H$28=Cirkuleringsgreb!C6),Cirkuleringsgreb!H6,AND($H$28=Cirkuleringsgreb!C7),Cirkuleringsgreb!H7,AND($H$28=Cirkuleringsgreb!C8),Cirkuleringsgreb!H8))</f>
        <v>#N/A</v>
      </c>
      <c r="K28" s="493" t="e">
        <f>IF(H28=Cirkuleringsgreb!F6,Cirkuleringsgreb!I$6,IF(OUTPUT!H28=Cirkuleringsgreb!F7,Cirkuleringsgreb!I$7,IF(OUTPUT!H28=Cirkuleringsgreb!F$8,Cirkuleringsgreb!I8)))</f>
        <v>#N/A</v>
      </c>
      <c r="L28" s="73">
        <f>Materialeoutput!I9</f>
        <v>0</v>
      </c>
      <c r="M28" s="74" t="e" cm="1">
        <f t="array" ref="M28">(_xlfn.IFS(AND($H$28=Cirkuleringsgreb!C6),Cirkuleringsgreb!J6,AND($H$28=Cirkuleringsgreb!C7),Cirkuleringsgreb!J7,AND($H$28=Cirkuleringsgreb!C8),Cirkuleringsgreb!J8))</f>
        <v>#N/A</v>
      </c>
      <c r="N28" s="75" t="e" cm="1">
        <f t="array" ref="N28">(_xlfn.IFS(AND($H$28=Cirkuleringsgreb!C6),Cirkuleringsgreb!K6,AND($H$28=Cirkuleringsgreb!C7),Cirkuleringsgreb!K7,AND($H$28=Cirkuleringsgreb!C8),Cirkuleringsgreb!K8))</f>
        <v>#N/A</v>
      </c>
      <c r="O28" s="76" t="e" cm="1">
        <f t="array" ref="O28">(_xlfn.IFS(AND($H$28=Cirkuleringsgreb!C6),Økonomi!I6,AND($H$28=Cirkuleringsgreb!C7),Økonomi!I7,AND($H$28=Cirkuleringsgreb!C8),Økonomi!I8))</f>
        <v>#N/A</v>
      </c>
      <c r="P28" s="22" t="e" cm="1">
        <f t="array" ref="P28">(_xlfn.IFS(AND($H$28=Cirkuleringsgreb!C6),Økonomi!S6,AND($H$28=Cirkuleringsgreb!C7),Økonomi!S7,AND($H$28=Cirkuleringsgreb!C8),Økonomi!S8))</f>
        <v>#N/A</v>
      </c>
    </row>
    <row r="29" spans="2:16" ht="18" customHeight="1" x14ac:dyDescent="0.3">
      <c r="B29" s="568"/>
      <c r="C29" s="540"/>
      <c r="D29" s="77"/>
      <c r="E29" s="77"/>
      <c r="F29" s="78"/>
      <c r="G29" s="77"/>
      <c r="H29" s="78"/>
      <c r="I29" s="79"/>
      <c r="J29" s="77"/>
      <c r="K29" s="78"/>
      <c r="L29" s="79"/>
      <c r="M29" s="77"/>
      <c r="N29" s="79"/>
      <c r="O29" s="78"/>
      <c r="P29" s="79"/>
    </row>
    <row r="30" spans="2:16" ht="145.5" customHeight="1" x14ac:dyDescent="0.3">
      <c r="B30" s="568"/>
      <c r="C30" s="462"/>
      <c r="D30" s="20" t="s">
        <v>21</v>
      </c>
      <c r="E30" s="21" t="str">
        <f>IF(INPUT!E12="Skriv her","-",INPUT!E12)</f>
        <v>-</v>
      </c>
      <c r="F30" s="72">
        <f>IF(INPUT!F12="Tast her","-",INPUT!F12)</f>
        <v>0</v>
      </c>
      <c r="G30" s="21" t="b">
        <f>IF(AND(1950&lt;=INPUT!G12,INPUT!G12&lt;=1977),Argumenter!B49,IF(INPUT!H12=1,Argumenter!B52,IF(INPUT!H12=2,Argumenter!B53,IF(INPUT!H12=3,Argumenter!B54))))</f>
        <v>0</v>
      </c>
      <c r="H30" s="72" t="str" cm="1">
        <f t="array" ref="H30">(_xlfn.IFS(AND(Cirkuleringsgreb!N6=Argumenter!B490),Cirkuleringsgreb!O6,AND(Cirkuleringsgreb!N6=Argumenter!B491,Cirkuleringsgreb!N7=Argumenter!B490),Cirkuleringsgreb!O7,AND(Cirkuleringsgreb!N6=Argumenter!B491,Cirkuleringsgreb!N7=Argumenter!B491,Cirkuleringsgreb!N8=Argumenter!B490),Cirkuleringsgreb!O8))</f>
        <v>Genbrug</v>
      </c>
      <c r="I30" s="22" t="str" cm="1">
        <f t="array" ref="I30">(_xlfn.IFS(AND($H$30=Cirkuleringsgreb!C6),Cirkuleringsgreb!M6,AND($H$30=Cirkuleringsgreb!C7),Cirkuleringsgreb!M7,AND($H$30=Cirkuleringsgreb!C8),Cirkuleringsgreb!M8))</f>
        <v>Glas renses og genbruges direkte i nye klimaskærme.</v>
      </c>
      <c r="J30" s="24" t="str" cm="1">
        <f t="array" ref="J30">(_xlfn.IFS(AND($H$30=Cirkuleringsgreb!C6),Cirkuleringsgreb!Q6,AND($H$30=Cirkuleringsgreb!C7),Cirkuleringsgreb!Q7,AND($H$30=Cirkuleringsgreb!C8),Cirkuleringsgreb!Q8))</f>
        <v>95-100</v>
      </c>
      <c r="K30" s="493" t="str">
        <f>IF(H30=Cirkuleringsgreb!O$6,Cirkuleringsgreb!R$6,IF(OUTPUT!H30=Cirkuleringsgreb!O$7,Cirkuleringsgreb!R$7,IF(OUTPUT!H30=Cirkuleringsgreb!O$8,Cirkuleringsgreb!R$8)))</f>
        <v>CO2-besparelsen vil altid være projektafhængig, og kan afhængige en smule af montering og valg/genbrug af type ramme og karm</v>
      </c>
      <c r="L30" s="73">
        <f>Materialeoutput!I11</f>
        <v>0</v>
      </c>
      <c r="M30" s="80" cm="1">
        <f t="array" ref="M30">(_xlfn.IFS(AND($H$30=Cirkuleringsgreb!C6),Cirkuleringsgreb!S6,AND($H$30=Cirkuleringsgreb!C7),Cirkuleringsgreb!S7,AND($H$30=Cirkuleringsgreb!C8),Cirkuleringsgreb!S8))</f>
        <v>100</v>
      </c>
      <c r="N30" s="75" cm="1">
        <f t="array" ref="N30">(_xlfn.IFS(AND($H$30=Cirkuleringsgreb!C6),Cirkuleringsgreb!T6,AND($H$30=Cirkuleringsgreb!C7),Cirkuleringsgreb!T7,AND($H$30=Cirkuleringsgreb!C8),Cirkuleringsgreb!T8))</f>
        <v>0</v>
      </c>
      <c r="O30" s="76" cm="1">
        <f t="array" ref="O30">(_xlfn.IFS(AND($H$30=Cirkuleringsgreb!C6),Økonomi!I14,AND($H$30=Cirkuleringsgreb!C7),Økonomi!I15,AND($H$30=Cirkuleringsgreb!C8),Økonomi!I16))</f>
        <v>-60</v>
      </c>
      <c r="P30" s="22" t="str" cm="1">
        <f t="array" ref="P30">(_xlfn.IFS(AND($H$30=Cirkuleringsgreb!C6),Økonomi!S14,AND($H$30=Cirkuleringsgreb!C7),Økonomi!S15,AND($H$30=Cirkuleringsgreb!C8),Økonomi!S16))</f>
        <v xml:space="preserve">Det vurderes, at nænsom nedtagning af vinduer vil medføre en stigning i nedrivningsomkostninger på 10-20 procent. </v>
      </c>
    </row>
    <row r="31" spans="2:16" ht="18" customHeight="1" x14ac:dyDescent="0.3">
      <c r="B31" s="568"/>
      <c r="C31" s="540"/>
      <c r="D31" s="77"/>
      <c r="E31" s="77"/>
      <c r="F31" s="78"/>
      <c r="G31" s="77"/>
      <c r="H31" s="78"/>
      <c r="I31" s="79"/>
      <c r="J31" s="77"/>
      <c r="K31" s="78"/>
      <c r="L31" s="79"/>
      <c r="M31" s="77"/>
      <c r="N31" s="79"/>
      <c r="O31" s="78"/>
      <c r="P31" s="79"/>
    </row>
    <row r="32" spans="2:16" ht="147.75" customHeight="1" x14ac:dyDescent="0.3">
      <c r="B32" s="568"/>
      <c r="C32" s="540"/>
      <c r="D32" s="20" t="s">
        <v>25</v>
      </c>
      <c r="E32" s="21" t="str">
        <f>IF(INPUT!E17="Skriv her","-",INPUT!E17)</f>
        <v>-</v>
      </c>
      <c r="F32" s="72">
        <f>IF(INPUT!F17="Tast her","-",INPUT!F17)</f>
        <v>0</v>
      </c>
      <c r="G32" s="21" t="b">
        <f>IF(AND(INPUT!H17="Nej",INPUT!I17="Kalk"),Argumenter!B61,IF(AND(INPUT!H17="Nej",INPUT!I17="Cement"),Argumenter!B64,IF(AND(INPUT!H17="Nej",INPUT!I17="Andet"),Argumenter!B64,IF(AND(INPUT!H17="Ja",INPUT!I17="Kalk"),Argumenter!B62,IF(AND(INPUT!H17="Ja",INPUT!I17="Cement"),Argumenter!B63,IF(AND(INPUT!H17="Ja",INPUT!I17="Andet"),Argumenter!B63))))))</f>
        <v>0</v>
      </c>
      <c r="H32" s="72" t="str" cm="1">
        <f t="array" ref="H32">(_xlfn.IFS(AND(Cirkuleringsgreb!W6=Argumenter!B490),Cirkuleringsgreb!X6,AND(Cirkuleringsgreb!W6=Argumenter!B491,Cirkuleringsgreb!W7=Argumenter!B490),Cirkuleringsgreb!X7,AND(Cirkuleringsgreb!W6=Argumenter!B491,Cirkuleringsgreb!W7=Argumenter!B491,Cirkuleringsgreb!W8=Argumenter!B490),Cirkuleringsgreb!X8))</f>
        <v>Upcycling</v>
      </c>
      <c r="I32" s="22" t="str" cm="1">
        <f t="array" ref="I32">(_xlfn.IFS(AND($H$32=Cirkuleringsgreb!C6),Cirkuleringsgreb!V6,AND($H$32=Cirkuleringsgreb!C7),Cirkuleringsgreb!V7,AND($H$32=Cirkuleringsgreb!C8),Cirkuleringsgreb!V8))</f>
        <v>Murstenfacade skæres ud i større modul-blokke og genbruges i ny facade (eller i landskabsarkitektur).</v>
      </c>
      <c r="J32" s="24" t="str" cm="1">
        <f t="array" ref="J32">(_xlfn.IFS(AND($H$32=Cirkuleringsgreb!C6),Cirkuleringsgreb!Z6,AND($H$32=Cirkuleringsgreb!C7),Cirkuleringsgreb!Z7,AND($H$32=Cirkuleringsgreb!C8),Cirkuleringsgreb!Z8))</f>
        <v>34-72</v>
      </c>
      <c r="K32" s="510" t="str">
        <f>IF(H32=Cirkuleringsgreb!X$6,Cirkuleringsgreb!AA$6,IF(OUTPUT!H32=Cirkuleringsgreb!X$7,Cirkuleringsgreb!AA$7,IF(OUTPUT!H32=Cirkuleringsgreb!X$8,Cirkuleringsgreb!AA$8)))</f>
        <v xml:space="preserve">CO2-besparelsen ved upcycling af udskårne mur-elementer afhænger i høj grad af, hvordan mur-elementer støttes og monteres (fx ved støbning af betonbagmur eller montering på stålramme-system. </v>
      </c>
      <c r="L32" s="23">
        <f>Materialeoutput!I13</f>
        <v>0</v>
      </c>
      <c r="M32" s="80" cm="1">
        <f t="array" ref="M32">(_xlfn.IFS(AND($H$32=Cirkuleringsgreb!C6),Cirkuleringsgreb!AB6,AND($H$32=Cirkuleringsgreb!C7),Cirkuleringsgreb!AB7,AND($H$32=Cirkuleringsgreb!C8),Cirkuleringsgreb!AB8))</f>
        <v>80</v>
      </c>
      <c r="N32" s="75" cm="1">
        <f t="array" ref="N32">(_xlfn.IFS(AND($H$32=Cirkuleringsgreb!C6),Cirkuleringsgreb!AC6,AND($H$32=Cirkuleringsgreb!C7),Cirkuleringsgreb!AC7,AND($H$32=Cirkuleringsgreb!C8),Cirkuleringsgreb!AC8))</f>
        <v>0</v>
      </c>
      <c r="O32" s="76" cm="1">
        <f t="array" ref="O32">(_xlfn.IFS(AND($H$32=Cirkuleringsgreb!C6),Økonomi!I23,AND($H$32=Cirkuleringsgreb!C7),Økonomi!I24,AND($H$32=Cirkuleringsgreb!C8),Økonomi!I25))</f>
        <v>-401.82</v>
      </c>
      <c r="P32" s="22" t="str" cm="1">
        <f t="array" ref="P32">(_xlfn.IFS(AND($H$32=Cirkuleringsgreb!C6),Økonomi!S23,AND($H$32=Cirkuleringsgreb!C7),Økonomi!S24,AND($H$32=Cirkuleringsgreb!C8),Økonomi!S25))</f>
        <v xml:space="preserve">Der vurderes en stigning på ca.100% i omkostninger ved nedtagning. Denne vurdering er vejledende, da metoden for nedtagning via udskæring er relativ ny, uprøvet og under udvikling. </v>
      </c>
    </row>
    <row r="33" spans="2:16" ht="18" customHeight="1" x14ac:dyDescent="0.3">
      <c r="D33" s="81"/>
      <c r="E33" s="82"/>
      <c r="F33" s="82"/>
      <c r="G33" s="25"/>
      <c r="H33" s="83"/>
      <c r="I33" s="27"/>
      <c r="J33" s="28"/>
      <c r="K33" s="83"/>
      <c r="L33" s="27"/>
      <c r="M33" s="28"/>
      <c r="N33" s="26"/>
      <c r="P33" s="84"/>
    </row>
    <row r="34" spans="2:16" x14ac:dyDescent="0.3">
      <c r="G34" s="29"/>
      <c r="H34" s="30"/>
      <c r="I34" s="30"/>
      <c r="J34" s="30"/>
      <c r="K34" s="30"/>
      <c r="L34" s="29"/>
      <c r="M34" s="30"/>
      <c r="N34" s="29"/>
      <c r="O34" s="85"/>
      <c r="P34" s="85"/>
    </row>
    <row r="35" spans="2:16" x14ac:dyDescent="0.3">
      <c r="I35" s="31"/>
      <c r="J35" s="31"/>
      <c r="K35" s="31"/>
      <c r="L35" s="31"/>
      <c r="M35" s="31"/>
      <c r="N35" s="31"/>
      <c r="O35" s="31"/>
      <c r="P35" s="31"/>
    </row>
    <row r="38" spans="2:16" ht="51.75" customHeight="1" x14ac:dyDescent="0.3">
      <c r="B38" s="569"/>
      <c r="F38" s="39"/>
      <c r="G38" s="39"/>
      <c r="H38" s="39"/>
      <c r="J38" s="39"/>
      <c r="K38" s="39"/>
      <c r="L38" s="39"/>
      <c r="M38" s="39"/>
    </row>
    <row r="39" spans="2:16" ht="22.5" x14ac:dyDescent="0.3">
      <c r="B39" s="569"/>
      <c r="F39" s="463"/>
      <c r="G39" s="36"/>
      <c r="H39" s="463"/>
      <c r="J39" s="463"/>
      <c r="K39" s="463"/>
      <c r="L39" s="36"/>
      <c r="M39" s="463"/>
    </row>
    <row r="40" spans="2:16" ht="17.25" x14ac:dyDescent="0.3">
      <c r="B40" s="569"/>
      <c r="F40" s="39"/>
      <c r="G40" s="39"/>
      <c r="H40" s="39"/>
      <c r="J40" s="39"/>
      <c r="K40" s="39"/>
      <c r="L40" s="39"/>
      <c r="M40" s="39"/>
    </row>
    <row r="41" spans="2:16" ht="17.25" x14ac:dyDescent="0.3">
      <c r="B41" s="569"/>
      <c r="G41" s="44"/>
      <c r="L41" s="44"/>
    </row>
    <row r="42" spans="2:16" x14ac:dyDescent="0.3">
      <c r="B42" s="569"/>
    </row>
    <row r="43" spans="2:16" ht="22.5" x14ac:dyDescent="0.3">
      <c r="B43" s="569"/>
      <c r="G43" s="45"/>
      <c r="L43" s="86"/>
    </row>
    <row r="44" spans="2:16" x14ac:dyDescent="0.3">
      <c r="B44" s="569"/>
    </row>
    <row r="45" spans="2:16" ht="17.25" x14ac:dyDescent="0.3">
      <c r="B45" s="569"/>
      <c r="F45" s="39"/>
      <c r="G45" s="5"/>
      <c r="H45" s="39"/>
      <c r="J45" s="39"/>
      <c r="K45" s="39"/>
      <c r="L45" s="5"/>
      <c r="M45" s="39"/>
    </row>
    <row r="46" spans="2:16" ht="17.25" x14ac:dyDescent="0.3">
      <c r="B46" s="569"/>
      <c r="F46" s="39"/>
      <c r="H46" s="39"/>
      <c r="J46" s="39"/>
      <c r="K46" s="39"/>
      <c r="M46" s="39"/>
    </row>
    <row r="47" spans="2:16" ht="17.25" x14ac:dyDescent="0.3">
      <c r="B47" s="569"/>
      <c r="F47" s="39"/>
      <c r="G47" s="39"/>
      <c r="H47" s="39"/>
      <c r="J47" s="39"/>
      <c r="K47" s="39"/>
      <c r="L47" s="39"/>
      <c r="M47" s="39"/>
    </row>
    <row r="48" spans="2:16" ht="17.25" x14ac:dyDescent="0.3">
      <c r="B48" s="569"/>
      <c r="F48" s="39"/>
      <c r="G48" s="39"/>
      <c r="H48" s="39"/>
      <c r="J48" s="39"/>
      <c r="K48" s="39"/>
      <c r="L48" s="39"/>
      <c r="M48" s="39"/>
    </row>
    <row r="49" spans="2:16" ht="17.25" x14ac:dyDescent="0.3">
      <c r="B49" s="569"/>
      <c r="F49" s="39"/>
      <c r="G49" s="39"/>
      <c r="H49" s="39"/>
      <c r="J49" s="39"/>
      <c r="K49" s="39"/>
      <c r="L49" s="39"/>
      <c r="M49" s="39"/>
    </row>
    <row r="50" spans="2:16" ht="17.25" x14ac:dyDescent="0.3">
      <c r="B50" s="569"/>
      <c r="F50" s="39"/>
      <c r="G50" s="39"/>
      <c r="H50" s="39"/>
      <c r="J50" s="39"/>
      <c r="K50" s="39"/>
      <c r="L50" s="39"/>
      <c r="M50" s="39"/>
      <c r="P50" s="87"/>
    </row>
    <row r="51" spans="2:16" ht="22.5" x14ac:dyDescent="0.3">
      <c r="B51" s="569"/>
      <c r="F51" s="39"/>
      <c r="G51" s="45"/>
      <c r="H51" s="39"/>
      <c r="J51" s="39"/>
      <c r="K51" s="39"/>
      <c r="L51" s="45"/>
      <c r="M51" s="39"/>
    </row>
    <row r="52" spans="2:16" ht="17.25" x14ac:dyDescent="0.3">
      <c r="B52" s="569"/>
      <c r="F52" s="39"/>
      <c r="G52" s="44"/>
      <c r="H52" s="39"/>
      <c r="J52" s="39"/>
      <c r="K52" s="39"/>
      <c r="L52" s="44"/>
      <c r="M52" s="39"/>
    </row>
    <row r="53" spans="2:16" ht="17.25" x14ac:dyDescent="0.3">
      <c r="B53" s="569"/>
      <c r="F53" s="39"/>
      <c r="G53" s="39"/>
      <c r="H53" s="39"/>
      <c r="J53" s="39"/>
      <c r="K53" s="39"/>
      <c r="L53" s="39"/>
      <c r="M53" s="39"/>
    </row>
    <row r="54" spans="2:16" ht="17.25" x14ac:dyDescent="0.3">
      <c r="B54" s="569"/>
      <c r="F54" s="39"/>
      <c r="G54" s="39"/>
      <c r="H54" s="39"/>
      <c r="J54" s="39"/>
      <c r="K54" s="39"/>
      <c r="L54" s="39"/>
      <c r="M54" s="39"/>
    </row>
    <row r="55" spans="2:16" ht="17.25" x14ac:dyDescent="0.3">
      <c r="B55" s="569"/>
      <c r="F55" s="39"/>
      <c r="G55" s="44"/>
      <c r="H55" s="39"/>
      <c r="J55" s="39"/>
      <c r="K55" s="39"/>
      <c r="L55" s="44"/>
      <c r="M55" s="39"/>
    </row>
    <row r="56" spans="2:16" ht="17.25" customHeight="1" x14ac:dyDescent="0.3">
      <c r="B56" s="569"/>
      <c r="F56" s="39"/>
      <c r="G56" s="44"/>
      <c r="H56" s="39"/>
      <c r="J56" s="39"/>
      <c r="K56" s="39"/>
      <c r="L56" s="44"/>
      <c r="M56" s="39"/>
    </row>
    <row r="57" spans="2:16" ht="17.25" x14ac:dyDescent="0.3">
      <c r="B57" s="569"/>
      <c r="F57" s="39"/>
      <c r="G57" s="39"/>
      <c r="H57" s="39"/>
      <c r="J57" s="39"/>
      <c r="K57" s="39"/>
      <c r="L57" s="39"/>
      <c r="M57" s="39"/>
    </row>
    <row r="58" spans="2:16" ht="17.25" x14ac:dyDescent="0.3">
      <c r="B58" s="569"/>
      <c r="F58" s="39"/>
      <c r="G58" s="39"/>
      <c r="H58" s="39"/>
      <c r="J58" s="39"/>
      <c r="K58" s="39"/>
      <c r="L58" s="39"/>
      <c r="M58" s="39"/>
    </row>
    <row r="59" spans="2:16" ht="17.25" x14ac:dyDescent="0.3">
      <c r="B59" s="569"/>
      <c r="F59" s="39"/>
      <c r="G59" s="39"/>
      <c r="H59" s="39"/>
      <c r="J59" s="39"/>
      <c r="K59" s="39"/>
      <c r="L59" s="39"/>
      <c r="M59" s="39"/>
    </row>
    <row r="60" spans="2:16" ht="17.25" x14ac:dyDescent="0.3">
      <c r="B60" s="569"/>
      <c r="F60" s="5"/>
      <c r="G60" s="5"/>
      <c r="H60" s="5"/>
      <c r="J60" s="5"/>
      <c r="K60" s="5"/>
      <c r="L60" s="5"/>
      <c r="M60" s="5"/>
    </row>
    <row r="61" spans="2:16" ht="17.25" x14ac:dyDescent="0.3">
      <c r="B61" s="569"/>
      <c r="F61" s="39"/>
      <c r="G61" s="39"/>
      <c r="H61" s="39"/>
      <c r="J61" s="39"/>
      <c r="K61" s="39"/>
      <c r="L61" s="39"/>
      <c r="M61" s="39"/>
    </row>
    <row r="62" spans="2:16" x14ac:dyDescent="0.3">
      <c r="B62" s="569"/>
    </row>
    <row r="63" spans="2:16" ht="17.25" x14ac:dyDescent="0.3">
      <c r="B63" s="569"/>
      <c r="F63" s="39"/>
      <c r="G63" s="39"/>
      <c r="H63" s="39"/>
      <c r="J63" s="39"/>
      <c r="K63" s="39"/>
      <c r="L63" s="39"/>
      <c r="M63" s="39"/>
    </row>
    <row r="64" spans="2:16" ht="17.25" x14ac:dyDescent="0.3">
      <c r="B64" s="569"/>
      <c r="F64" s="39"/>
      <c r="G64" s="39"/>
      <c r="H64" s="39"/>
      <c r="J64" s="39"/>
      <c r="K64" s="39"/>
      <c r="L64" s="39"/>
      <c r="M64" s="39"/>
    </row>
    <row r="65" spans="2:13" ht="17.25" x14ac:dyDescent="0.3">
      <c r="B65" s="569"/>
      <c r="F65" s="39"/>
      <c r="G65" s="39"/>
      <c r="H65" s="39"/>
      <c r="J65" s="39"/>
      <c r="K65" s="39"/>
      <c r="L65" s="39"/>
      <c r="M65" s="39"/>
    </row>
    <row r="66" spans="2:13" x14ac:dyDescent="0.3">
      <c r="B66" s="569"/>
      <c r="F66" s="53"/>
      <c r="G66" s="53"/>
      <c r="H66" s="53"/>
      <c r="J66" s="53"/>
      <c r="K66" s="53"/>
      <c r="L66" s="53"/>
      <c r="M66" s="53"/>
    </row>
    <row r="67" spans="2:13" ht="17.25" x14ac:dyDescent="0.3">
      <c r="B67" s="569"/>
      <c r="F67" s="44"/>
      <c r="G67" s="44"/>
      <c r="H67" s="44"/>
      <c r="J67" s="44"/>
      <c r="K67" s="44"/>
      <c r="L67" s="44"/>
      <c r="M67" s="44"/>
    </row>
    <row r="68" spans="2:13" ht="51.75" customHeight="1" x14ac:dyDescent="0.3">
      <c r="B68" s="569"/>
    </row>
    <row r="69" spans="2:13" x14ac:dyDescent="0.3">
      <c r="B69" s="14"/>
    </row>
  </sheetData>
  <sheetProtection sheet="1" objects="1" scenarios="1"/>
  <mergeCells count="20">
    <mergeCell ref="D1:J1"/>
    <mergeCell ref="D2:I2"/>
    <mergeCell ref="B4:B17"/>
    <mergeCell ref="H4:J4"/>
    <mergeCell ref="D5:D7"/>
    <mergeCell ref="H5:J5"/>
    <mergeCell ref="H6:J6"/>
    <mergeCell ref="H7:J7"/>
    <mergeCell ref="H9:J9"/>
    <mergeCell ref="D10:D12"/>
    <mergeCell ref="B25:B32"/>
    <mergeCell ref="B38:B68"/>
    <mergeCell ref="H10:J10"/>
    <mergeCell ref="H11:J11"/>
    <mergeCell ref="H12:J12"/>
    <mergeCell ref="H14:J14"/>
    <mergeCell ref="D15:D17"/>
    <mergeCell ref="I15:J15"/>
    <mergeCell ref="I16:J16"/>
    <mergeCell ref="I17:J17"/>
  </mergeCells>
  <conditionalFormatting sqref="H30">
    <cfRule type="cellIs" dxfId="63" priority="31" operator="equal">
      <formula>#REF!</formula>
    </cfRule>
    <cfRule type="cellIs" dxfId="62" priority="32" operator="equal">
      <formula>#REF!</formula>
    </cfRule>
    <cfRule type="cellIs" dxfId="61" priority="33" operator="equal">
      <formula>#REF!</formula>
    </cfRule>
  </conditionalFormatting>
  <conditionalFormatting sqref="H32">
    <cfRule type="cellIs" dxfId="60" priority="34" operator="equal">
      <formula>#REF!</formula>
    </cfRule>
    <cfRule type="cellIs" dxfId="59" priority="35" operator="equal">
      <formula>#REF!</formula>
    </cfRule>
    <cfRule type="cellIs" dxfId="58" priority="36" operator="equal">
      <formula>#REF!</formula>
    </cfRule>
  </conditionalFormatting>
  <dataValidations count="4">
    <dataValidation type="list" allowBlank="1" showInputMessage="1" showErrorMessage="1" sqref="I17:K17" xr:uid="{7266B58C-8466-4109-B9C9-12F7E76CC66D}">
      <formula1>"Kalk,Cement,Andet"</formula1>
    </dataValidation>
    <dataValidation type="list" allowBlank="1" showInputMessage="1" showErrorMessage="1" sqref="H12" xr:uid="{9FD757A0-ED90-4290-B4EE-3DFD29AC6867}">
      <formula1>"1, 2, 3"</formula1>
    </dataValidation>
    <dataValidation type="list" allowBlank="1" showInputMessage="1" showErrorMessage="1" sqref="H8 H7:K7" xr:uid="{6BBB4AAF-80C9-4770-B13D-C9EDE47BBDFC}">
      <formula1>"Kalk,Cement,Andet,Der er ikke under eller overstrygning"</formula1>
    </dataValidation>
    <dataValidation type="list" allowBlank="1" showInputMessage="1" showErrorMessage="1" sqref="H17" xr:uid="{D088CE1C-5D0F-40A3-A204-7E7610390CFC}">
      <formula1>"Ja,Nej"</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ellIs" priority="28" operator="equal" id="{00906D9D-E2AF-49BA-8313-1D93BEC1EBF8}">
            <xm:f>Cirkuleringsgreb!$C$8</xm:f>
            <x14:dxf>
              <font>
                <color theme="8" tint="-0.24994659260841701"/>
              </font>
              <fill>
                <patternFill>
                  <bgColor theme="8" tint="0.79998168889431442"/>
                </patternFill>
              </fill>
            </x14:dxf>
          </x14:cfRule>
          <x14:cfRule type="cellIs" priority="29" operator="equal" id="{FFF77403-8D2C-483A-BDF5-E1C467726A92}">
            <xm:f>Cirkuleringsgreb!$C$7</xm:f>
            <x14:dxf>
              <font>
                <color rgb="FF9C5700"/>
              </font>
              <fill>
                <patternFill>
                  <bgColor rgb="FFFFEB9C"/>
                </patternFill>
              </fill>
            </x14:dxf>
          </x14:cfRule>
          <x14:cfRule type="cellIs" priority="30" operator="equal" id="{7258A0DD-2E80-46A3-92AD-559468C4DD68}">
            <xm:f>Cirkuleringsgreb!$C$6</xm:f>
            <x14:dxf>
              <font>
                <color rgb="FF006100"/>
              </font>
              <fill>
                <patternFill>
                  <bgColor rgb="FFC6EFCE"/>
                </patternFill>
              </fill>
            </x14:dxf>
          </x14:cfRule>
          <xm:sqref>H32</xm:sqref>
        </x14:conditionalFormatting>
        <x14:conditionalFormatting xmlns:xm="http://schemas.microsoft.com/office/excel/2006/main">
          <x14:cfRule type="cellIs" priority="25" operator="equal" id="{C95182BD-9F8F-4031-8706-BA667C3F1E47}">
            <xm:f>Cirkuleringsgreb!$C$6</xm:f>
            <x14:dxf>
              <font>
                <color rgb="FF006100"/>
              </font>
              <fill>
                <patternFill>
                  <bgColor rgb="FFC6EFCE"/>
                </patternFill>
              </fill>
            </x14:dxf>
          </x14:cfRule>
          <x14:cfRule type="cellIs" priority="26" operator="equal" id="{9E948A6A-C212-4A08-AA21-96F2F760A9E2}">
            <xm:f>Cirkuleringsgreb!$C$7</xm:f>
            <x14:dxf>
              <font>
                <color rgb="FF9C5700"/>
              </font>
              <fill>
                <patternFill>
                  <bgColor rgb="FFFFEB9C"/>
                </patternFill>
              </fill>
            </x14:dxf>
          </x14:cfRule>
          <x14:cfRule type="cellIs" priority="27" operator="equal" id="{32CB0D5B-F7AB-4215-AAFD-5184D1F9A457}">
            <xm:f>Cirkuleringsgreb!$C$8</xm:f>
            <x14:dxf>
              <font>
                <color theme="8" tint="-0.24994659260841701"/>
              </font>
              <fill>
                <patternFill>
                  <bgColor theme="8" tint="0.79998168889431442"/>
                </patternFill>
              </fill>
            </x14:dxf>
          </x14:cfRule>
          <xm:sqref>H30</xm:sqref>
        </x14:conditionalFormatting>
        <x14:conditionalFormatting xmlns:xm="http://schemas.microsoft.com/office/excel/2006/main">
          <x14:cfRule type="cellIs" priority="22" operator="equal" id="{401C2AAF-DBCE-4B87-8466-7988778CFFE3}">
            <xm:f>Cirkuleringsgreb!$C$8</xm:f>
            <x14:dxf>
              <font>
                <color theme="8" tint="-0.24994659260841701"/>
              </font>
              <fill>
                <patternFill>
                  <bgColor theme="8" tint="0.79998168889431442"/>
                </patternFill>
              </fill>
            </x14:dxf>
          </x14:cfRule>
          <x14:cfRule type="cellIs" priority="23" operator="equal" id="{C8060DF3-480D-45ED-B24E-C34C15C4C71A}">
            <xm:f>Cirkuleringsgreb!$C$6</xm:f>
            <x14:dxf>
              <font>
                <color rgb="FF006100"/>
              </font>
              <fill>
                <patternFill>
                  <bgColor rgb="FFC6EFCE"/>
                </patternFill>
              </fill>
            </x14:dxf>
          </x14:cfRule>
          <x14:cfRule type="cellIs" priority="24" operator="equal" id="{ACB66C24-B8BA-4A6C-9E52-E440AFF319BA}">
            <xm:f>Cirkuleringsgreb!$C$7</xm:f>
            <x14:dxf>
              <font>
                <color rgb="FF9C5700"/>
              </font>
              <fill>
                <patternFill>
                  <bgColor rgb="FFFFEB9C"/>
                </patternFill>
              </fill>
            </x14:dxf>
          </x14:cfRule>
          <xm:sqref>H32</xm:sqref>
        </x14:conditionalFormatting>
        <x14:conditionalFormatting xmlns:xm="http://schemas.microsoft.com/office/excel/2006/main">
          <x14:cfRule type="cellIs" priority="19" operator="equal" id="{B3374EE3-6A02-4EBB-A799-401AAE259F60}">
            <xm:f>Cirkuleringsgreb!$C$8</xm:f>
            <x14:dxf>
              <font>
                <color theme="8" tint="-0.24994659260841701"/>
              </font>
              <fill>
                <patternFill>
                  <bgColor theme="8" tint="0.79998168889431442"/>
                </patternFill>
              </fill>
            </x14:dxf>
          </x14:cfRule>
          <x14:cfRule type="cellIs" priority="20" operator="equal" id="{45FDD62E-848D-4C17-BE99-9D905D98DD8A}">
            <xm:f>Cirkuleringsgreb!$C$7</xm:f>
            <x14:dxf>
              <font>
                <color rgb="FF9C5700"/>
              </font>
              <fill>
                <patternFill>
                  <bgColor rgb="FFFFEB9C"/>
                </patternFill>
              </fill>
            </x14:dxf>
          </x14:cfRule>
          <x14:cfRule type="cellIs" priority="21" operator="equal" id="{5AC7E6FF-1944-44F3-9B53-09325A39A7E4}">
            <xm:f>Cirkuleringsgreb!$C$6</xm:f>
            <x14:dxf>
              <font>
                <color rgb="FF006100"/>
              </font>
              <fill>
                <patternFill>
                  <bgColor rgb="FFC6EFCE"/>
                </patternFill>
              </fill>
            </x14:dxf>
          </x14:cfRule>
          <xm:sqref>H28:I28</xm:sqref>
        </x14:conditionalFormatting>
        <x14:conditionalFormatting xmlns:xm="http://schemas.microsoft.com/office/excel/2006/main">
          <x14:cfRule type="cellIs" priority="16" operator="equal" id="{BE5D1C02-DE76-403E-ABF6-B935AB800024}">
            <xm:f>'C:\2019_398 TCW Område- og Byfornyelsen\05. Delivery\A) Screeningsværktøj\04. Værktøj 2.0\Byrum_2.0\[Byrum_Screeningsværktøj_2.0.xlsx]Cirkuleringsgreb'!#REF!</xm:f>
            <x14:dxf>
              <font>
                <color rgb="FF9C0006"/>
              </font>
              <fill>
                <patternFill>
                  <bgColor rgb="FFFFC7CE"/>
                </patternFill>
              </fill>
            </x14:dxf>
          </x14:cfRule>
          <x14:cfRule type="cellIs" priority="17" operator="equal" id="{3874E879-AC91-4AA4-9648-EFBFDA64CC97}">
            <xm:f>'C:\2019_398 TCW Område- og Byfornyelsen\05. Delivery\A) Screeningsværktøj\04. Værktøj 2.0\Byrum_2.0\[Byrum_Screeningsværktøj_2.0.xlsx]Cirkuleringsgreb'!#REF!</xm:f>
            <x14:dxf>
              <font>
                <color rgb="FF9C5700"/>
              </font>
              <fill>
                <patternFill>
                  <bgColor rgb="FFFFEB9C"/>
                </patternFill>
              </fill>
            </x14:dxf>
          </x14:cfRule>
          <x14:cfRule type="cellIs" priority="18" operator="equal" id="{63C9CA3A-2850-45E7-B507-A580E87A6B75}">
            <xm:f>'C:\2019_398 TCW Område- og Byfornyelsen\05. Delivery\A) Screeningsværktøj\04. Værktøj 2.0\Byrum_2.0\[Byrum_Screeningsværktøj_2.0.xlsx]Cirkuleringsgreb'!#REF!</xm:f>
            <x14:dxf>
              <font>
                <color rgb="FF006100"/>
              </font>
              <fill>
                <patternFill>
                  <bgColor rgb="FFC6EFCE"/>
                </patternFill>
              </fill>
            </x14:dxf>
          </x14:cfRule>
          <xm:sqref>K28</xm:sqref>
        </x14:conditionalFormatting>
        <x14:conditionalFormatting xmlns:xm="http://schemas.microsoft.com/office/excel/2006/main">
          <x14:cfRule type="cellIs" priority="7" operator="equal" id="{4428BB83-3AF9-43ED-9B22-A3D970E60EFA}">
            <xm:f>'C:\2019_398 TCW Område- og Byfornyelsen\05. Delivery\A) Screeningsværktøj\04. Værktøj 2.0\Byrum_2.0\[Byrum_Screeningsværktøj_2.0.xlsx]Cirkuleringsgreb'!#REF!</xm:f>
            <x14:dxf>
              <font>
                <color rgb="FF9C0006"/>
              </font>
              <fill>
                <patternFill>
                  <bgColor rgb="FFFFC7CE"/>
                </patternFill>
              </fill>
            </x14:dxf>
          </x14:cfRule>
          <x14:cfRule type="cellIs" priority="8" operator="equal" id="{BC2AFE31-F79F-4990-B837-32C2408E6CAD}">
            <xm:f>'C:\2019_398 TCW Område- og Byfornyelsen\05. Delivery\A) Screeningsværktøj\04. Værktøj 2.0\Byrum_2.0\[Byrum_Screeningsværktøj_2.0.xlsx]Cirkuleringsgreb'!#REF!</xm:f>
            <x14:dxf>
              <font>
                <color rgb="FF9C5700"/>
              </font>
              <fill>
                <patternFill>
                  <bgColor rgb="FFFFEB9C"/>
                </patternFill>
              </fill>
            </x14:dxf>
          </x14:cfRule>
          <x14:cfRule type="cellIs" priority="9" operator="equal" id="{AE73C47E-C927-465C-9B73-1D7A6279FAEB}">
            <xm:f>'C:\2019_398 TCW Område- og Byfornyelsen\05. Delivery\A) Screeningsværktøj\04. Værktøj 2.0\Byrum_2.0\[Byrum_Screeningsværktøj_2.0.xlsx]Cirkuleringsgreb'!#REF!</xm:f>
            <x14:dxf>
              <font>
                <color rgb="FF006100"/>
              </font>
              <fill>
                <patternFill>
                  <bgColor rgb="FFC6EFCE"/>
                </patternFill>
              </fill>
            </x14:dxf>
          </x14:cfRule>
          <xm:sqref>K30</xm:sqref>
        </x14:conditionalFormatting>
        <x14:conditionalFormatting xmlns:xm="http://schemas.microsoft.com/office/excel/2006/main">
          <x14:cfRule type="cellIs" priority="4" operator="equal" id="{D9D8B8D2-2FCD-4980-B0D0-A190FC24B295}">
            <xm:f>'C:\2019_398 TCW Område- og Byfornyelsen\05. Delivery\A) Screeningsværktøj\04. Værktøj 2.0\Byrum_2.0\[Byrum_Screeningsværktøj_2.0.xlsx]Cirkuleringsgreb'!#REF!</xm:f>
            <x14:dxf>
              <font>
                <color rgb="FF9C0006"/>
              </font>
              <fill>
                <patternFill>
                  <bgColor rgb="FFFFC7CE"/>
                </patternFill>
              </fill>
            </x14:dxf>
          </x14:cfRule>
          <x14:cfRule type="cellIs" priority="5" operator="equal" id="{B75002FB-9070-4B08-9EB3-B8E92BCE9048}">
            <xm:f>'C:\2019_398 TCW Område- og Byfornyelsen\05. Delivery\A) Screeningsværktøj\04. Værktøj 2.0\Byrum_2.0\[Byrum_Screeningsværktøj_2.0.xlsx]Cirkuleringsgreb'!#REF!</xm:f>
            <x14:dxf>
              <font>
                <color rgb="FF9C5700"/>
              </font>
              <fill>
                <patternFill>
                  <bgColor rgb="FFFFEB9C"/>
                </patternFill>
              </fill>
            </x14:dxf>
          </x14:cfRule>
          <x14:cfRule type="cellIs" priority="6" operator="equal" id="{1291BF15-2683-42D7-A09F-8D497E58F73D}">
            <xm:f>'C:\2019_398 TCW Område- og Byfornyelsen\05. Delivery\A) Screeningsværktøj\04. Værktøj 2.0\Byrum_2.0\[Byrum_Screeningsværktøj_2.0.xlsx]Cirkuleringsgreb'!#REF!</xm:f>
            <x14:dxf>
              <font>
                <color rgb="FF006100"/>
              </font>
              <fill>
                <patternFill>
                  <bgColor rgb="FFC6EFCE"/>
                </patternFill>
              </fill>
            </x14:dxf>
          </x14:cfRule>
          <xm:sqref>K32</xm:sqref>
        </x14:conditionalFormatting>
        <x14:conditionalFormatting xmlns:xm="http://schemas.microsoft.com/office/excel/2006/main">
          <x14:cfRule type="cellIs" priority="3" operator="equal" id="{DE772BD7-5494-4212-B99E-40C4509A2B63}">
            <xm:f>Argumenter!$B$49</xm:f>
            <x14:dxf>
              <font>
                <color rgb="FFC00000"/>
              </font>
              <fill>
                <patternFill>
                  <bgColor rgb="FFFFCCCC"/>
                </patternFill>
              </fill>
            </x14:dxf>
          </x14:cfRule>
          <xm:sqref>G30</xm:sqref>
        </x14:conditionalFormatting>
        <x14:conditionalFormatting xmlns:xm="http://schemas.microsoft.com/office/excel/2006/main">
          <x14:cfRule type="cellIs" priority="1" operator="equal" id="{05247D43-4FB8-486B-9B6C-180C1FBC325D}">
            <xm:f>Argumenter!$B$63</xm:f>
            <x14:dxf>
              <font>
                <color rgb="FFC00000"/>
              </font>
              <fill>
                <patternFill>
                  <bgColor rgb="FFFFCCCC"/>
                </patternFill>
              </fill>
            </x14:dxf>
          </x14:cfRule>
          <x14:cfRule type="cellIs" priority="2" operator="equal" id="{8162AD1D-8889-4C18-AFE1-7EECD582565E}">
            <xm:f>Argumenter!$B$62</xm:f>
            <x14:dxf>
              <font>
                <color rgb="FFC00000"/>
              </font>
              <fill>
                <patternFill>
                  <bgColor rgb="FFFFCCCC"/>
                </patternFill>
              </fill>
            </x14:dxf>
          </x14:cfRule>
          <xm:sqref>G32</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853BC-3F9D-4E3D-91DD-8AC93F5495C2}">
  <sheetPr>
    <tabColor rgb="FFB4C6E7"/>
  </sheetPr>
  <dimension ref="A1:T34"/>
  <sheetViews>
    <sheetView showGridLines="0" topLeftCell="A10" zoomScale="55" zoomScaleNormal="55" workbookViewId="0">
      <selection activeCell="K56" sqref="K56"/>
    </sheetView>
  </sheetViews>
  <sheetFormatPr defaultColWidth="8.7109375" defaultRowHeight="15" x14ac:dyDescent="0.25"/>
  <cols>
    <col min="1" max="2" width="8.7109375" style="464"/>
    <col min="3" max="5" width="26.140625" style="464" customWidth="1"/>
    <col min="6" max="6" width="8.7109375" style="464" customWidth="1"/>
    <col min="7" max="7" width="26.28515625" style="464" customWidth="1"/>
    <col min="8" max="9" width="26.140625" style="464" customWidth="1"/>
    <col min="10" max="10" width="11.85546875" style="464" customWidth="1"/>
    <col min="11" max="11" width="33.42578125" style="464" customWidth="1"/>
    <col min="12" max="12" width="14.140625" style="464" customWidth="1"/>
    <col min="13" max="13" width="34.42578125" style="464" customWidth="1"/>
    <col min="14" max="14" width="8.7109375" style="464" customWidth="1"/>
    <col min="15" max="15" width="15" style="464" customWidth="1"/>
    <col min="16" max="16" width="8.7109375" style="464" customWidth="1"/>
    <col min="17" max="17" width="18.7109375" style="464" customWidth="1"/>
    <col min="18" max="18" width="5.28515625" style="464" customWidth="1"/>
    <col min="19" max="19" width="2" style="464" customWidth="1"/>
    <col min="20" max="20" width="7.28515625" style="464" customWidth="1"/>
    <col min="21" max="16384" width="8.7109375" style="464"/>
  </cols>
  <sheetData>
    <row r="1" spans="1:20" s="439" customFormat="1" ht="41.45" customHeight="1" x14ac:dyDescent="0.5">
      <c r="C1" s="465" t="s">
        <v>0</v>
      </c>
      <c r="E1" s="465"/>
      <c r="F1" s="465"/>
      <c r="G1" s="465"/>
      <c r="H1" s="465"/>
      <c r="I1" s="465"/>
      <c r="J1" s="465"/>
    </row>
    <row r="3" spans="1:20" ht="15.75" thickBot="1" x14ac:dyDescent="0.3"/>
    <row r="4" spans="1:20" ht="17.25" x14ac:dyDescent="0.3">
      <c r="A4" s="592" t="s">
        <v>49</v>
      </c>
      <c r="C4" s="32"/>
      <c r="D4" s="33"/>
      <c r="E4" s="34"/>
      <c r="F4" s="2"/>
      <c r="G4" s="32"/>
      <c r="H4" s="33"/>
      <c r="I4" s="34"/>
      <c r="K4" s="520"/>
      <c r="L4" s="521"/>
      <c r="M4" s="522"/>
    </row>
    <row r="5" spans="1:20" ht="22.5" x14ac:dyDescent="0.3">
      <c r="A5" s="592"/>
      <c r="C5" s="38"/>
      <c r="D5" s="36" t="s">
        <v>50</v>
      </c>
      <c r="E5" s="37"/>
      <c r="F5" s="2"/>
      <c r="G5" s="35"/>
      <c r="H5" s="36" t="s">
        <v>51</v>
      </c>
      <c r="I5" s="37"/>
      <c r="K5" s="523"/>
      <c r="L5" s="36" t="s">
        <v>52</v>
      </c>
      <c r="M5" s="524"/>
    </row>
    <row r="6" spans="1:20" ht="16.5" customHeight="1" x14ac:dyDescent="0.3">
      <c r="A6" s="592"/>
      <c r="C6" s="41"/>
      <c r="D6" s="39"/>
      <c r="E6" s="40"/>
      <c r="F6" s="2"/>
      <c r="G6" s="41"/>
      <c r="H6" s="39"/>
      <c r="I6" s="46"/>
      <c r="K6" s="523"/>
      <c r="M6" s="524"/>
    </row>
    <row r="7" spans="1:20" ht="40.5" customHeight="1" x14ac:dyDescent="0.3">
      <c r="A7" s="592"/>
      <c r="C7" s="43"/>
      <c r="D7" s="539" t="s">
        <v>53</v>
      </c>
      <c r="E7" s="42"/>
      <c r="F7" s="2"/>
      <c r="G7" s="43"/>
      <c r="H7" s="539" t="s">
        <v>54</v>
      </c>
      <c r="I7" s="42"/>
      <c r="K7" s="593" t="s">
        <v>55</v>
      </c>
      <c r="L7" s="594"/>
      <c r="M7" s="595"/>
    </row>
    <row r="8" spans="1:20" ht="38.25" customHeight="1" x14ac:dyDescent="0.3">
      <c r="A8" s="592"/>
      <c r="C8" s="43"/>
      <c r="D8" s="2"/>
      <c r="E8" s="42"/>
      <c r="F8" s="2"/>
      <c r="G8" s="43"/>
      <c r="H8" s="2"/>
      <c r="I8" s="42"/>
      <c r="K8" s="523"/>
      <c r="M8" s="524"/>
      <c r="S8" s="538"/>
      <c r="T8" s="538"/>
    </row>
    <row r="9" spans="1:20" ht="27.75" customHeight="1" x14ac:dyDescent="0.3">
      <c r="A9" s="592"/>
      <c r="C9" s="43"/>
      <c r="D9" s="45">
        <f>OUTPUT!L28+OUTPUT!L30+OUTPUT!L32</f>
        <v>0</v>
      </c>
      <c r="E9" s="42"/>
      <c r="F9" s="2"/>
      <c r="G9" s="43"/>
      <c r="H9" s="86">
        <f>H17*Argumenter!B331</f>
        <v>0</v>
      </c>
      <c r="I9" s="42"/>
      <c r="K9" s="523"/>
      <c r="M9" s="524"/>
      <c r="S9" s="538"/>
      <c r="T9" s="538"/>
    </row>
    <row r="10" spans="1:20" ht="33.75" customHeight="1" x14ac:dyDescent="0.3">
      <c r="A10" s="592"/>
      <c r="C10" s="43"/>
      <c r="D10" s="2"/>
      <c r="E10" s="42"/>
      <c r="F10" s="2"/>
      <c r="G10" s="43"/>
      <c r="H10" s="2"/>
      <c r="I10" s="42"/>
      <c r="K10" s="523"/>
      <c r="L10" s="528" t="s">
        <v>56</v>
      </c>
      <c r="M10" s="524"/>
      <c r="S10" s="538"/>
      <c r="T10" s="538"/>
    </row>
    <row r="11" spans="1:20" ht="17.25" x14ac:dyDescent="0.3">
      <c r="A11" s="592"/>
      <c r="C11" s="41"/>
      <c r="D11" s="5" t="s">
        <v>57</v>
      </c>
      <c r="E11" s="46"/>
      <c r="F11" s="2"/>
      <c r="G11" s="47"/>
      <c r="H11" s="5" t="s">
        <v>58</v>
      </c>
      <c r="I11" s="46"/>
      <c r="K11" s="523"/>
      <c r="M11" s="524"/>
    </row>
    <row r="12" spans="1:20" ht="34.5" x14ac:dyDescent="0.45">
      <c r="A12" s="592"/>
      <c r="C12" s="47"/>
      <c r="D12" s="2"/>
      <c r="E12" s="46"/>
      <c r="F12" s="2"/>
      <c r="G12" s="47"/>
      <c r="H12" s="2"/>
      <c r="I12" s="46"/>
      <c r="K12" s="523"/>
      <c r="L12" s="529" t="s">
        <v>59</v>
      </c>
      <c r="M12" s="534">
        <f>Materialeoutput!H9/(Referencehus!E27/1000)</f>
        <v>0</v>
      </c>
    </row>
    <row r="13" spans="1:20" ht="32.25" customHeight="1" x14ac:dyDescent="0.3">
      <c r="A13" s="592"/>
      <c r="C13" s="47"/>
      <c r="D13" s="39"/>
      <c r="E13" s="46"/>
      <c r="F13" s="2"/>
      <c r="G13" s="47"/>
      <c r="H13" s="39"/>
      <c r="I13" s="46"/>
      <c r="K13" s="523"/>
      <c r="M13" s="524"/>
    </row>
    <row r="14" spans="1:20" ht="17.25" x14ac:dyDescent="0.3">
      <c r="A14" s="592"/>
      <c r="C14" s="47"/>
      <c r="D14" s="39"/>
      <c r="E14" s="46"/>
      <c r="F14" s="2"/>
      <c r="G14" s="47"/>
      <c r="H14" s="39"/>
      <c r="I14" s="46"/>
      <c r="K14" s="523"/>
      <c r="L14" s="528" t="s">
        <v>60</v>
      </c>
      <c r="M14" s="524"/>
    </row>
    <row r="15" spans="1:20" ht="37.5" customHeight="1" x14ac:dyDescent="0.3">
      <c r="A15" s="592"/>
      <c r="C15" s="47"/>
      <c r="D15" s="39"/>
      <c r="E15" s="46"/>
      <c r="F15" s="2"/>
      <c r="G15" s="47"/>
      <c r="H15" s="39"/>
      <c r="I15" s="46"/>
      <c r="K15" s="523"/>
      <c r="M15" s="524"/>
    </row>
    <row r="16" spans="1:20" ht="17.25" x14ac:dyDescent="0.3">
      <c r="A16" s="592"/>
      <c r="C16" s="47"/>
      <c r="D16" s="39"/>
      <c r="E16" s="46"/>
      <c r="F16" s="2"/>
      <c r="G16" s="47"/>
      <c r="H16" s="39"/>
      <c r="I16" s="46"/>
      <c r="K16" s="523"/>
      <c r="M16" s="524"/>
    </row>
    <row r="17" spans="1:18" s="479" customFormat="1" ht="33.75" customHeight="1" x14ac:dyDescent="0.25">
      <c r="A17" s="592"/>
      <c r="C17" s="480"/>
      <c r="D17" s="481">
        <f>SUM(OUTPUT!L28:L32)/Argumenter!B327</f>
        <v>0</v>
      </c>
      <c r="E17" s="482"/>
      <c r="F17" s="246"/>
      <c r="G17" s="480"/>
      <c r="H17" s="481">
        <f>SUM(Materialeoutput!H9:H13)*1000/Argumenter!B331</f>
        <v>0</v>
      </c>
      <c r="I17" s="482"/>
      <c r="K17" s="523"/>
      <c r="L17" s="464"/>
      <c r="M17" s="524"/>
      <c r="R17" s="530"/>
    </row>
    <row r="18" spans="1:18" ht="17.25" x14ac:dyDescent="0.3">
      <c r="A18" s="592"/>
      <c r="C18" s="47"/>
      <c r="D18" s="44" t="s">
        <v>61</v>
      </c>
      <c r="E18" s="46"/>
      <c r="F18" s="2"/>
      <c r="G18" s="47"/>
      <c r="H18" s="44" t="s">
        <v>62</v>
      </c>
      <c r="I18" s="46"/>
      <c r="K18" s="523"/>
      <c r="M18" s="524"/>
      <c r="R18" s="530"/>
    </row>
    <row r="19" spans="1:18" ht="17.25" x14ac:dyDescent="0.3">
      <c r="A19" s="592"/>
      <c r="C19" s="47"/>
      <c r="D19" s="39"/>
      <c r="E19" s="46"/>
      <c r="F19" s="2"/>
      <c r="G19" s="47"/>
      <c r="H19" s="39"/>
      <c r="I19" s="46"/>
      <c r="K19" s="535"/>
      <c r="L19" s="531" t="s">
        <v>63</v>
      </c>
      <c r="M19" s="536"/>
      <c r="R19" s="530"/>
    </row>
    <row r="20" spans="1:18" ht="17.25" x14ac:dyDescent="0.3">
      <c r="A20" s="592"/>
      <c r="C20" s="47"/>
      <c r="D20" s="39"/>
      <c r="E20" s="46"/>
      <c r="F20" s="2"/>
      <c r="G20" s="47"/>
      <c r="H20" s="39"/>
      <c r="I20" s="46"/>
      <c r="K20" s="535"/>
      <c r="L20" s="530"/>
      <c r="M20" s="536"/>
      <c r="R20" s="530"/>
    </row>
    <row r="21" spans="1:18" ht="34.5" x14ac:dyDescent="0.3">
      <c r="A21" s="592"/>
      <c r="C21" s="47"/>
      <c r="D21" s="44" t="s">
        <v>64</v>
      </c>
      <c r="E21" s="46"/>
      <c r="F21" s="2"/>
      <c r="G21" s="47"/>
      <c r="H21" s="44" t="s">
        <v>64</v>
      </c>
      <c r="I21" s="46"/>
      <c r="K21" s="535"/>
      <c r="L21" s="532" t="s">
        <v>59</v>
      </c>
      <c r="M21" s="537">
        <f>Materialeoutput!H11/(Referencehus!E25/1000)</f>
        <v>0</v>
      </c>
      <c r="R21" s="530"/>
    </row>
    <row r="22" spans="1:18" ht="17.25" x14ac:dyDescent="0.3">
      <c r="A22" s="592"/>
      <c r="C22" s="47"/>
      <c r="D22" s="44"/>
      <c r="E22" s="46"/>
      <c r="F22" s="2"/>
      <c r="G22" s="47"/>
      <c r="H22" s="44"/>
      <c r="I22" s="46"/>
      <c r="K22" s="535"/>
      <c r="L22" s="530"/>
      <c r="M22" s="536"/>
    </row>
    <row r="23" spans="1:18" ht="17.25" x14ac:dyDescent="0.3">
      <c r="A23" s="592"/>
      <c r="C23" s="47"/>
      <c r="D23" s="39"/>
      <c r="E23" s="46"/>
      <c r="F23" s="2"/>
      <c r="G23" s="47"/>
      <c r="H23" s="39"/>
      <c r="I23" s="46"/>
      <c r="K23" s="535"/>
      <c r="L23" s="531" t="s">
        <v>60</v>
      </c>
      <c r="M23" s="536"/>
    </row>
    <row r="24" spans="1:18" ht="17.25" x14ac:dyDescent="0.3">
      <c r="A24" s="592"/>
      <c r="C24" s="47"/>
      <c r="D24" s="39"/>
      <c r="E24" s="46"/>
      <c r="F24" s="2"/>
      <c r="G24" s="47"/>
      <c r="H24" s="39"/>
      <c r="I24" s="46"/>
      <c r="K24" s="523"/>
      <c r="M24" s="524"/>
    </row>
    <row r="25" spans="1:18" ht="29.25" customHeight="1" x14ac:dyDescent="0.3">
      <c r="A25" s="592"/>
      <c r="C25" s="47"/>
      <c r="D25" s="39"/>
      <c r="E25" s="46"/>
      <c r="F25" s="2"/>
      <c r="G25" s="47"/>
      <c r="H25" s="39"/>
      <c r="I25" s="46"/>
      <c r="K25" s="523"/>
      <c r="M25" s="524"/>
    </row>
    <row r="26" spans="1:18" ht="17.25" x14ac:dyDescent="0.3">
      <c r="A26" s="592"/>
      <c r="C26" s="48" t="s">
        <v>65</v>
      </c>
      <c r="D26" s="5" t="s">
        <v>21</v>
      </c>
      <c r="E26" s="49" t="s">
        <v>25</v>
      </c>
      <c r="F26" s="2"/>
      <c r="G26" s="48" t="s">
        <v>65</v>
      </c>
      <c r="H26" s="5" t="s">
        <v>21</v>
      </c>
      <c r="I26" s="49" t="s">
        <v>25</v>
      </c>
      <c r="K26" s="523"/>
      <c r="M26" s="524"/>
    </row>
    <row r="27" spans="1:18" ht="17.25" x14ac:dyDescent="0.3">
      <c r="A27" s="592"/>
      <c r="C27" s="47"/>
      <c r="D27" s="39"/>
      <c r="E27" s="46"/>
      <c r="F27" s="2"/>
      <c r="G27" s="47"/>
      <c r="H27" s="39"/>
      <c r="I27" s="46"/>
      <c r="K27" s="523"/>
      <c r="M27" s="524"/>
    </row>
    <row r="28" spans="1:18" ht="16.5" x14ac:dyDescent="0.3">
      <c r="A28" s="592"/>
      <c r="C28" s="50"/>
      <c r="D28" s="2"/>
      <c r="E28" s="51"/>
      <c r="F28" s="2"/>
      <c r="G28" s="50"/>
      <c r="H28" s="2"/>
      <c r="I28" s="51"/>
      <c r="K28" s="523"/>
      <c r="M28" s="524"/>
    </row>
    <row r="29" spans="1:18" ht="17.25" x14ac:dyDescent="0.3">
      <c r="A29" s="592"/>
      <c r="C29" s="47"/>
      <c r="D29" s="39"/>
      <c r="E29" s="46"/>
      <c r="F29" s="2"/>
      <c r="G29" s="47"/>
      <c r="H29" s="39"/>
      <c r="I29" s="46"/>
      <c r="K29" s="535"/>
      <c r="L29" s="531" t="s">
        <v>66</v>
      </c>
      <c r="M29" s="536"/>
    </row>
    <row r="30" spans="1:18" ht="17.25" x14ac:dyDescent="0.3">
      <c r="A30" s="592"/>
      <c r="C30" s="47"/>
      <c r="D30" s="39"/>
      <c r="E30" s="46"/>
      <c r="F30" s="2"/>
      <c r="G30" s="47"/>
      <c r="H30" s="39"/>
      <c r="I30" s="46"/>
      <c r="K30" s="535"/>
      <c r="L30" s="530"/>
      <c r="M30" s="536"/>
    </row>
    <row r="31" spans="1:18" ht="34.5" x14ac:dyDescent="0.3">
      <c r="A31" s="592"/>
      <c r="C31" s="47"/>
      <c r="D31" s="39"/>
      <c r="E31" s="46"/>
      <c r="F31" s="2"/>
      <c r="G31" s="47"/>
      <c r="H31" s="39"/>
      <c r="I31" s="46"/>
      <c r="K31" s="535"/>
      <c r="L31" s="532" t="s">
        <v>59</v>
      </c>
      <c r="M31" s="537">
        <f>Materialeoutput!H13/(Referencehus!E26/1000)</f>
        <v>0</v>
      </c>
    </row>
    <row r="32" spans="1:18" ht="33.75" customHeight="1" x14ac:dyDescent="0.3">
      <c r="A32" s="592"/>
      <c r="C32" s="52">
        <f>OUTPUT!L28/Argumenter!B327</f>
        <v>0</v>
      </c>
      <c r="D32" s="53">
        <f>OUTPUT!L30/Argumenter!B327</f>
        <v>0</v>
      </c>
      <c r="E32" s="54">
        <f>OUTPUT!L32/Argumenter!B327</f>
        <v>0</v>
      </c>
      <c r="F32" s="2"/>
      <c r="G32" s="52">
        <f>(Materialeoutput!H9)*1000/Argumenter!B331</f>
        <v>0</v>
      </c>
      <c r="H32" s="53">
        <f>(Materialeoutput!H11)*1000/Argumenter!B331</f>
        <v>0</v>
      </c>
      <c r="I32" s="54">
        <f>(Materialeoutput!H13)*1000/Argumenter!B331</f>
        <v>0</v>
      </c>
      <c r="K32" s="535"/>
      <c r="L32" s="530"/>
      <c r="M32" s="536"/>
    </row>
    <row r="33" spans="1:13" ht="17.25" x14ac:dyDescent="0.3">
      <c r="A33" s="592"/>
      <c r="C33" s="55"/>
      <c r="D33" s="44" t="s">
        <v>61</v>
      </c>
      <c r="E33" s="56"/>
      <c r="F33" s="2"/>
      <c r="G33" s="55"/>
      <c r="H33" s="44" t="s">
        <v>62</v>
      </c>
      <c r="I33" s="56"/>
      <c r="K33" s="535"/>
      <c r="L33" s="531" t="s">
        <v>60</v>
      </c>
      <c r="M33" s="536"/>
    </row>
    <row r="34" spans="1:13" ht="17.25" thickBot="1" x14ac:dyDescent="0.35">
      <c r="A34" s="592"/>
      <c r="C34" s="57"/>
      <c r="D34" s="58"/>
      <c r="E34" s="59"/>
      <c r="F34" s="2"/>
      <c r="G34" s="57"/>
      <c r="H34" s="58"/>
      <c r="I34" s="59"/>
      <c r="K34" s="525"/>
      <c r="L34" s="526"/>
      <c r="M34" s="527"/>
    </row>
  </sheetData>
  <sheetProtection sheet="1" objects="1" scenarios="1"/>
  <mergeCells count="2">
    <mergeCell ref="A4:A34"/>
    <mergeCell ref="K7:M7"/>
  </mergeCells>
  <pageMargins left="0.7" right="0.7" top="0.75" bottom="0.75" header="0.3" footer="0.3"/>
  <pageSetup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7">
    <tabColor theme="0"/>
  </sheetPr>
  <dimension ref="A2:XFC506"/>
  <sheetViews>
    <sheetView tabSelected="1" topLeftCell="A349" zoomScale="70" zoomScaleNormal="70" workbookViewId="0">
      <selection activeCell="D386" sqref="D386"/>
    </sheetView>
  </sheetViews>
  <sheetFormatPr defaultColWidth="9.140625" defaultRowHeight="16.5" x14ac:dyDescent="0.3"/>
  <cols>
    <col min="1" max="1" width="45.85546875" style="153" customWidth="1"/>
    <col min="2" max="2" width="56.140625" style="153" customWidth="1"/>
    <col min="3" max="3" width="26.7109375" style="153" customWidth="1"/>
    <col min="4" max="4" width="44.28515625" style="89" customWidth="1"/>
    <col min="5" max="5" width="19.7109375" style="89" customWidth="1"/>
    <col min="6" max="6" width="57.5703125" style="89" customWidth="1"/>
    <col min="7" max="7" width="36.7109375" style="89" customWidth="1"/>
    <col min="8" max="8" width="15.85546875" style="89" customWidth="1"/>
    <col min="9" max="9" width="17.140625" style="89" customWidth="1"/>
    <col min="10" max="10" width="21.140625" style="89" customWidth="1"/>
    <col min="11" max="11" width="17" style="12" customWidth="1"/>
    <col min="12" max="12" width="17.85546875" style="12" customWidth="1"/>
    <col min="13" max="13" width="21.5703125" style="12" customWidth="1"/>
    <col min="14" max="14" width="12.5703125" style="12" customWidth="1"/>
    <col min="15" max="15" width="13.28515625" style="12" customWidth="1"/>
    <col min="16" max="16" width="21.42578125" style="12" customWidth="1"/>
    <col min="17" max="17" width="13.85546875" style="12" customWidth="1"/>
    <col min="18" max="18" width="17" style="12" customWidth="1"/>
    <col min="19" max="19" width="19.5703125" style="12" customWidth="1"/>
    <col min="20" max="22" width="9.140625" style="12"/>
    <col min="23" max="26" width="40.7109375" style="12" customWidth="1"/>
    <col min="27" max="1229" width="9.140625" style="12"/>
    <col min="1230" max="16384" width="9.140625" style="89"/>
  </cols>
  <sheetData>
    <row r="2" spans="1:10" ht="46.5" customHeight="1" x14ac:dyDescent="0.3">
      <c r="A2" s="441" t="s">
        <v>67</v>
      </c>
      <c r="B2" s="88"/>
      <c r="C2" s="88"/>
      <c r="D2" s="12"/>
      <c r="E2" s="12"/>
      <c r="F2" s="12"/>
      <c r="G2" s="12"/>
      <c r="H2" s="12"/>
      <c r="I2" s="12"/>
      <c r="J2" s="12"/>
    </row>
    <row r="3" spans="1:10" ht="33" x14ac:dyDescent="0.3">
      <c r="A3" s="88" t="s">
        <v>68</v>
      </c>
      <c r="B3" s="88"/>
      <c r="C3" s="88"/>
      <c r="D3" s="12"/>
      <c r="E3" s="12"/>
      <c r="F3" s="12"/>
      <c r="G3" s="12"/>
      <c r="H3" s="12"/>
      <c r="I3" s="12"/>
      <c r="J3" s="12"/>
    </row>
    <row r="4" spans="1:10" ht="33" x14ac:dyDescent="0.3">
      <c r="A4" s="88" t="s">
        <v>69</v>
      </c>
      <c r="B4" s="88"/>
      <c r="C4" s="88"/>
      <c r="D4" s="12"/>
      <c r="E4" s="12"/>
      <c r="F4" s="12"/>
      <c r="G4" s="12"/>
      <c r="H4" s="12"/>
      <c r="I4" s="12"/>
      <c r="J4" s="12"/>
    </row>
    <row r="5" spans="1:10" ht="12.95" customHeight="1" x14ac:dyDescent="0.3">
      <c r="A5" s="88"/>
      <c r="B5" s="88"/>
      <c r="C5" s="88"/>
      <c r="D5" s="12"/>
      <c r="E5" s="12"/>
      <c r="F5" s="12"/>
      <c r="G5" s="12"/>
      <c r="H5" s="12"/>
      <c r="I5" s="12"/>
      <c r="J5" s="12"/>
    </row>
    <row r="6" spans="1:10" ht="32.1" hidden="1" customHeight="1" x14ac:dyDescent="0.3">
      <c r="A6" s="397" t="s">
        <v>70</v>
      </c>
      <c r="B6" s="88"/>
      <c r="C6" s="88"/>
      <c r="D6" s="12"/>
      <c r="E6" s="12"/>
      <c r="F6" s="12"/>
      <c r="G6" s="12"/>
      <c r="H6" s="12"/>
      <c r="I6" s="12"/>
      <c r="J6" s="12"/>
    </row>
    <row r="7" spans="1:10" hidden="1" x14ac:dyDescent="0.3">
      <c r="A7" s="392" t="s">
        <v>71</v>
      </c>
      <c r="B7" s="392" t="str">
        <f>INPUT!D5</f>
        <v>Vingetegl</v>
      </c>
      <c r="C7" s="392" t="str">
        <f>INPUT!D10</f>
        <v>Glas</v>
      </c>
      <c r="D7" s="393" t="str">
        <f>INPUT!D15</f>
        <v>Mursten</v>
      </c>
      <c r="E7" s="12"/>
      <c r="F7" s="12"/>
      <c r="G7" s="12"/>
      <c r="H7" s="12"/>
      <c r="I7" s="12"/>
      <c r="J7" s="12"/>
    </row>
    <row r="8" spans="1:10" ht="8.4499999999999993" customHeight="1" x14ac:dyDescent="0.3">
      <c r="A8" s="88"/>
      <c r="B8" s="88"/>
      <c r="C8" s="88"/>
      <c r="D8" s="12"/>
      <c r="E8" s="12"/>
      <c r="F8" s="12"/>
      <c r="G8" s="12"/>
      <c r="H8" s="12"/>
      <c r="I8" s="12"/>
      <c r="J8" s="12"/>
    </row>
    <row r="9" spans="1:10" hidden="1" x14ac:dyDescent="0.3">
      <c r="A9" s="90" t="s">
        <v>72</v>
      </c>
      <c r="B9" s="90" t="e">
        <f>#REF!</f>
        <v>#REF!</v>
      </c>
      <c r="C9" s="90" t="e">
        <f>#REF!</f>
        <v>#REF!</v>
      </c>
      <c r="D9" s="91" t="e">
        <f>#REF!</f>
        <v>#REF!</v>
      </c>
      <c r="E9" s="12"/>
      <c r="F9" s="12"/>
      <c r="G9" s="12"/>
      <c r="H9" s="12"/>
      <c r="I9" s="12"/>
      <c r="J9" s="12"/>
    </row>
    <row r="10" spans="1:10" hidden="1" x14ac:dyDescent="0.3">
      <c r="A10" s="88"/>
      <c r="B10" s="88"/>
      <c r="C10" s="88"/>
      <c r="D10" s="12"/>
      <c r="E10" s="12"/>
      <c r="F10" s="12"/>
      <c r="G10" s="12"/>
      <c r="H10" s="12"/>
      <c r="I10" s="12"/>
      <c r="J10" s="12"/>
    </row>
    <row r="11" spans="1:10" x14ac:dyDescent="0.3">
      <c r="A11" s="88"/>
      <c r="B11" s="88"/>
      <c r="C11" s="88"/>
      <c r="D11" s="12"/>
      <c r="E11" s="12"/>
      <c r="F11" s="12"/>
      <c r="G11" s="12"/>
      <c r="H11" s="12"/>
      <c r="I11" s="12"/>
      <c r="J11" s="12"/>
    </row>
    <row r="12" spans="1:10" ht="30.6" customHeight="1" x14ac:dyDescent="0.3">
      <c r="A12" s="394" t="s">
        <v>73</v>
      </c>
      <c r="B12" s="395"/>
      <c r="C12" s="395"/>
      <c r="D12" s="396"/>
      <c r="E12" s="396"/>
      <c r="F12" s="396"/>
      <c r="G12" s="396"/>
      <c r="H12" s="396"/>
      <c r="I12" s="396"/>
      <c r="J12" s="396"/>
    </row>
    <row r="13" spans="1:10" x14ac:dyDescent="0.3">
      <c r="A13" s="440" t="s">
        <v>2</v>
      </c>
      <c r="B13" s="440" t="s">
        <v>74</v>
      </c>
      <c r="C13" s="440" t="s">
        <v>4</v>
      </c>
      <c r="D13" s="12"/>
      <c r="E13" s="12"/>
      <c r="F13" s="12"/>
      <c r="G13" s="12"/>
      <c r="H13" s="12"/>
      <c r="I13" s="12"/>
      <c r="J13" s="12"/>
    </row>
    <row r="14" spans="1:10" ht="19.5" x14ac:dyDescent="0.3">
      <c r="A14" s="92" t="s">
        <v>8</v>
      </c>
      <c r="B14" s="93"/>
      <c r="C14" s="94"/>
      <c r="D14" s="12"/>
      <c r="E14" s="12"/>
      <c r="F14" s="12"/>
      <c r="G14" s="12"/>
      <c r="H14" s="12"/>
      <c r="I14" s="12"/>
      <c r="J14" s="12"/>
    </row>
    <row r="15" spans="1:10" x14ac:dyDescent="0.3">
      <c r="A15" s="95"/>
      <c r="B15" s="88" t="s">
        <v>75</v>
      </c>
      <c r="C15" s="96">
        <v>14</v>
      </c>
      <c r="D15" s="12"/>
      <c r="E15" s="12"/>
      <c r="F15" s="12"/>
      <c r="G15" s="12"/>
      <c r="H15" s="12"/>
      <c r="I15" s="12"/>
      <c r="J15" s="12"/>
    </row>
    <row r="16" spans="1:10" x14ac:dyDescent="0.3">
      <c r="A16" s="97"/>
      <c r="B16" s="98"/>
      <c r="C16" s="99"/>
      <c r="D16" s="12"/>
      <c r="E16" s="12"/>
      <c r="F16" s="12"/>
      <c r="G16" s="12"/>
      <c r="H16" s="12"/>
      <c r="I16" s="12"/>
      <c r="J16" s="12"/>
    </row>
    <row r="17" spans="1:10" ht="19.5" x14ac:dyDescent="0.3">
      <c r="A17" s="92" t="s">
        <v>21</v>
      </c>
      <c r="B17" s="93"/>
      <c r="C17" s="94"/>
      <c r="D17" s="12"/>
      <c r="E17" s="12"/>
      <c r="F17" s="12"/>
      <c r="G17" s="12"/>
      <c r="H17" s="12"/>
      <c r="I17" s="12"/>
      <c r="J17" s="12"/>
    </row>
    <row r="18" spans="1:10" x14ac:dyDescent="0.3">
      <c r="A18" s="95"/>
      <c r="B18" s="88"/>
      <c r="C18" s="96"/>
      <c r="D18" s="12"/>
      <c r="E18" s="12"/>
      <c r="F18" s="12"/>
      <c r="G18" s="12"/>
      <c r="H18" s="12"/>
      <c r="I18" s="12"/>
      <c r="J18" s="12"/>
    </row>
    <row r="19" spans="1:10" x14ac:dyDescent="0.3">
      <c r="A19" s="95"/>
      <c r="B19" s="88"/>
      <c r="C19" s="96"/>
      <c r="D19" s="12"/>
      <c r="E19" s="12"/>
      <c r="F19" s="12"/>
      <c r="G19" s="12"/>
      <c r="H19" s="12"/>
      <c r="I19" s="12"/>
      <c r="J19" s="12"/>
    </row>
    <row r="20" spans="1:10" x14ac:dyDescent="0.3">
      <c r="A20" s="97"/>
      <c r="B20" s="98"/>
      <c r="C20" s="99"/>
      <c r="D20" s="12"/>
      <c r="E20" s="12"/>
      <c r="F20" s="12"/>
      <c r="G20" s="12"/>
      <c r="H20" s="12"/>
      <c r="I20" s="12"/>
      <c r="J20" s="12"/>
    </row>
    <row r="21" spans="1:10" ht="19.5" x14ac:dyDescent="0.3">
      <c r="A21" s="92" t="s">
        <v>25</v>
      </c>
      <c r="B21" s="93"/>
      <c r="C21" s="94"/>
      <c r="D21" s="12"/>
      <c r="E21" s="12"/>
      <c r="F21" s="12"/>
      <c r="G21" s="12"/>
      <c r="H21" s="12"/>
      <c r="I21" s="12"/>
      <c r="J21" s="12"/>
    </row>
    <row r="22" spans="1:10" ht="33" x14ac:dyDescent="0.3">
      <c r="A22" s="95"/>
      <c r="B22" s="88" t="s">
        <v>76</v>
      </c>
      <c r="C22" s="96"/>
      <c r="D22" s="12"/>
      <c r="E22" s="12"/>
      <c r="F22" s="12"/>
      <c r="G22" s="12"/>
      <c r="H22" s="12"/>
      <c r="I22" s="12"/>
      <c r="J22" s="12"/>
    </row>
    <row r="23" spans="1:10" x14ac:dyDescent="0.3">
      <c r="A23" s="95"/>
      <c r="B23" s="88" t="s">
        <v>77</v>
      </c>
      <c r="C23" s="96">
        <v>66</v>
      </c>
      <c r="D23" s="12"/>
      <c r="E23" s="12"/>
      <c r="F23" s="12"/>
      <c r="G23" s="12"/>
      <c r="H23" s="12"/>
      <c r="I23" s="12"/>
      <c r="J23" s="12"/>
    </row>
    <row r="24" spans="1:10" x14ac:dyDescent="0.3">
      <c r="A24" s="95"/>
      <c r="B24" s="88"/>
      <c r="C24" s="96"/>
      <c r="D24" s="12"/>
      <c r="E24" s="12"/>
      <c r="F24" s="12"/>
      <c r="G24" s="12"/>
      <c r="H24" s="12"/>
      <c r="I24" s="12"/>
      <c r="J24" s="12"/>
    </row>
    <row r="25" spans="1:10" x14ac:dyDescent="0.3">
      <c r="A25" s="95"/>
      <c r="B25" s="88"/>
      <c r="C25" s="96"/>
      <c r="D25" s="12"/>
      <c r="E25" s="12"/>
      <c r="F25" s="12"/>
      <c r="G25" s="12"/>
      <c r="H25" s="12"/>
      <c r="I25" s="12"/>
      <c r="J25" s="12"/>
    </row>
    <row r="26" spans="1:10" ht="22.5" customHeight="1" x14ac:dyDescent="0.3">
      <c r="A26" s="97"/>
      <c r="B26" s="98"/>
      <c r="C26" s="99"/>
      <c r="D26" s="12"/>
      <c r="E26" s="12"/>
      <c r="F26" s="12"/>
      <c r="G26" s="12"/>
      <c r="H26" s="12"/>
      <c r="I26" s="12"/>
      <c r="J26" s="12"/>
    </row>
    <row r="27" spans="1:10" ht="30.75" customHeight="1" x14ac:dyDescent="0.3">
      <c r="A27" s="100" t="s">
        <v>78</v>
      </c>
      <c r="B27" s="101"/>
      <c r="C27" s="101"/>
      <c r="D27" s="102"/>
      <c r="E27" s="102"/>
      <c r="F27" s="102"/>
      <c r="G27" s="102"/>
      <c r="H27" s="102"/>
      <c r="I27" s="102"/>
      <c r="J27" s="102"/>
    </row>
    <row r="28" spans="1:10" hidden="1" x14ac:dyDescent="0.3">
      <c r="A28" s="88"/>
      <c r="B28" s="88"/>
      <c r="C28" s="88"/>
      <c r="D28" s="12"/>
      <c r="E28" s="12"/>
      <c r="F28" s="12"/>
      <c r="G28" s="12"/>
      <c r="H28" s="12"/>
      <c r="I28" s="12"/>
      <c r="J28" s="12"/>
    </row>
    <row r="29" spans="1:10" hidden="1" x14ac:dyDescent="0.3">
      <c r="A29" s="88"/>
      <c r="B29" s="88"/>
      <c r="C29" s="88"/>
      <c r="D29" s="12"/>
      <c r="E29" s="12"/>
      <c r="F29" s="12"/>
      <c r="G29" s="12"/>
      <c r="H29" s="12"/>
      <c r="I29" s="12"/>
      <c r="J29" s="12"/>
    </row>
    <row r="30" spans="1:10" hidden="1" x14ac:dyDescent="0.3">
      <c r="A30" s="88"/>
      <c r="B30" s="88"/>
      <c r="C30" s="88"/>
      <c r="D30" s="12"/>
      <c r="E30" s="12"/>
      <c r="F30" s="12"/>
      <c r="G30" s="12"/>
      <c r="H30" s="12"/>
      <c r="I30" s="12"/>
      <c r="J30" s="12"/>
    </row>
    <row r="31" spans="1:10" ht="29.1" customHeight="1" x14ac:dyDescent="0.3">
      <c r="A31" s="357" t="s">
        <v>71</v>
      </c>
      <c r="B31" s="353"/>
      <c r="C31" s="88"/>
      <c r="D31" s="12"/>
      <c r="E31" s="12"/>
      <c r="F31" s="12"/>
      <c r="G31" s="12"/>
      <c r="H31" s="12"/>
      <c r="I31" s="12"/>
      <c r="J31" s="12"/>
    </row>
    <row r="32" spans="1:10" ht="16.5" customHeight="1" x14ac:dyDescent="0.3">
      <c r="A32" s="391" t="s">
        <v>79</v>
      </c>
      <c r="B32" s="391" t="s">
        <v>80</v>
      </c>
      <c r="C32" s="89"/>
      <c r="E32" s="12"/>
      <c r="F32" s="12"/>
      <c r="G32" s="12"/>
      <c r="H32" s="12"/>
      <c r="I32" s="12"/>
      <c r="J32" s="12"/>
    </row>
    <row r="33" spans="1:10" x14ac:dyDescent="0.3">
      <c r="A33" s="103" t="str">
        <f>A14</f>
        <v>Vingetegl</v>
      </c>
      <c r="B33" s="94"/>
      <c r="C33" s="88"/>
      <c r="D33" s="12"/>
      <c r="E33" s="12"/>
      <c r="F33" s="12"/>
      <c r="G33" s="12"/>
      <c r="H33" s="12"/>
      <c r="I33" s="12"/>
      <c r="J33" s="12"/>
    </row>
    <row r="34" spans="1:10" x14ac:dyDescent="0.3">
      <c r="A34" s="104"/>
      <c r="B34" s="96"/>
      <c r="C34" s="88"/>
      <c r="D34" s="12"/>
      <c r="E34" s="12"/>
      <c r="F34" s="12"/>
      <c r="G34" s="12"/>
      <c r="H34" s="12"/>
      <c r="I34" s="12"/>
      <c r="J34" s="12"/>
    </row>
    <row r="35" spans="1:10" x14ac:dyDescent="0.3">
      <c r="A35" s="105" t="s">
        <v>81</v>
      </c>
      <c r="B35" s="106"/>
      <c r="C35" s="88"/>
      <c r="D35" s="12"/>
      <c r="E35" s="12"/>
      <c r="F35" s="12"/>
      <c r="G35" s="12"/>
      <c r="H35" s="12"/>
      <c r="I35" s="12"/>
      <c r="J35" s="12"/>
    </row>
    <row r="36" spans="1:10" x14ac:dyDescent="0.3">
      <c r="A36" s="107"/>
      <c r="B36" s="106"/>
      <c r="C36" s="88"/>
      <c r="D36" s="12"/>
      <c r="E36" s="12"/>
      <c r="F36" s="12"/>
      <c r="G36" s="12"/>
      <c r="H36" s="12"/>
      <c r="I36" s="12"/>
      <c r="J36" s="12"/>
    </row>
    <row r="37" spans="1:10" ht="96" customHeight="1" x14ac:dyDescent="0.3">
      <c r="A37" s="105" t="s">
        <v>82</v>
      </c>
      <c r="B37" s="108" t="s">
        <v>83</v>
      </c>
      <c r="C37" s="88"/>
      <c r="D37" s="12"/>
      <c r="E37" s="12"/>
      <c r="F37" s="12"/>
      <c r="G37" s="12"/>
      <c r="H37" s="12"/>
      <c r="I37" s="12"/>
      <c r="J37" s="12"/>
    </row>
    <row r="38" spans="1:10" x14ac:dyDescent="0.3">
      <c r="A38" s="104"/>
      <c r="B38" s="106"/>
      <c r="C38" s="88"/>
      <c r="D38" s="12"/>
      <c r="E38" s="12"/>
      <c r="F38" s="12"/>
      <c r="G38" s="12"/>
      <c r="H38" s="12"/>
      <c r="I38" s="12"/>
      <c r="J38" s="12"/>
    </row>
    <row r="39" spans="1:10" ht="51.75" customHeight="1" x14ac:dyDescent="0.3">
      <c r="A39" s="104" t="s">
        <v>84</v>
      </c>
      <c r="B39" s="108" t="s">
        <v>85</v>
      </c>
      <c r="C39" s="88"/>
      <c r="D39" s="12"/>
      <c r="E39" s="12"/>
      <c r="F39" s="12"/>
      <c r="G39" s="12"/>
      <c r="H39" s="12"/>
      <c r="I39" s="12"/>
      <c r="J39" s="12"/>
    </row>
    <row r="40" spans="1:10" ht="88.5" customHeight="1" x14ac:dyDescent="0.3">
      <c r="A40" s="104" t="s">
        <v>86</v>
      </c>
      <c r="B40" s="96" t="s">
        <v>87</v>
      </c>
      <c r="C40" s="88"/>
      <c r="D40" s="12"/>
      <c r="E40" s="12"/>
      <c r="F40" s="12"/>
      <c r="G40" s="12"/>
      <c r="H40" s="12"/>
      <c r="I40" s="12"/>
      <c r="J40" s="12"/>
    </row>
    <row r="41" spans="1:10" ht="65.25" customHeight="1" x14ac:dyDescent="0.3">
      <c r="A41" s="104" t="s">
        <v>88</v>
      </c>
      <c r="B41" s="96" t="s">
        <v>89</v>
      </c>
      <c r="C41" s="88"/>
      <c r="D41" s="12"/>
      <c r="E41" s="12"/>
      <c r="F41" s="12"/>
      <c r="G41" s="12"/>
      <c r="H41" s="12"/>
      <c r="I41" s="12"/>
      <c r="J41" s="12"/>
    </row>
    <row r="42" spans="1:10" x14ac:dyDescent="0.3">
      <c r="A42" s="104"/>
      <c r="B42" s="96"/>
      <c r="C42" s="88"/>
      <c r="D42" s="12"/>
      <c r="E42" s="12"/>
      <c r="F42" s="12"/>
      <c r="G42" s="12"/>
      <c r="H42" s="12"/>
      <c r="I42" s="12"/>
      <c r="J42" s="12"/>
    </row>
    <row r="43" spans="1:10" x14ac:dyDescent="0.3">
      <c r="A43" s="104"/>
      <c r="B43" s="96"/>
      <c r="C43" s="88"/>
      <c r="D43" s="12"/>
      <c r="E43" s="12"/>
      <c r="F43" s="12"/>
      <c r="G43" s="12"/>
      <c r="H43" s="12"/>
      <c r="I43" s="12"/>
      <c r="J43" s="12"/>
    </row>
    <row r="44" spans="1:10" x14ac:dyDescent="0.3">
      <c r="A44" s="104"/>
      <c r="B44" s="96"/>
      <c r="C44" s="88"/>
      <c r="D44" s="12"/>
      <c r="E44" s="12"/>
      <c r="F44" s="12"/>
      <c r="G44" s="12"/>
      <c r="H44" s="12"/>
      <c r="I44" s="12"/>
      <c r="J44" s="12"/>
    </row>
    <row r="45" spans="1:10" x14ac:dyDescent="0.3">
      <c r="A45" s="109"/>
      <c r="B45" s="99"/>
      <c r="C45" s="88"/>
      <c r="D45" s="12"/>
      <c r="E45" s="12"/>
      <c r="F45" s="12"/>
      <c r="G45" s="12"/>
      <c r="H45" s="12"/>
      <c r="I45" s="12"/>
      <c r="J45" s="12"/>
    </row>
    <row r="46" spans="1:10" x14ac:dyDescent="0.3">
      <c r="A46" s="103" t="str">
        <f>A17</f>
        <v>Glas</v>
      </c>
      <c r="B46" s="94"/>
      <c r="C46" s="88"/>
      <c r="D46" s="12"/>
      <c r="E46" s="12"/>
      <c r="F46" s="12"/>
      <c r="G46" s="12"/>
      <c r="H46" s="12"/>
      <c r="I46" s="12"/>
      <c r="J46" s="12"/>
    </row>
    <row r="47" spans="1:10" x14ac:dyDescent="0.3">
      <c r="A47" s="104"/>
      <c r="B47" s="96"/>
      <c r="C47" s="88"/>
      <c r="D47" s="12"/>
      <c r="E47" s="12"/>
      <c r="F47" s="12"/>
      <c r="G47" s="12"/>
      <c r="H47" s="12"/>
      <c r="I47" s="12"/>
      <c r="J47" s="12"/>
    </row>
    <row r="48" spans="1:10" x14ac:dyDescent="0.3">
      <c r="A48" s="104"/>
      <c r="B48" s="96"/>
      <c r="C48" s="88"/>
      <c r="D48" s="12"/>
      <c r="E48" s="12"/>
      <c r="F48" s="12"/>
      <c r="G48" s="12"/>
      <c r="H48" s="12"/>
      <c r="I48" s="12"/>
      <c r="J48" s="12"/>
    </row>
    <row r="49" spans="1:10" ht="75.75" customHeight="1" x14ac:dyDescent="0.3">
      <c r="A49" s="104" t="s">
        <v>90</v>
      </c>
      <c r="B49" s="96" t="s">
        <v>91</v>
      </c>
      <c r="C49" s="88"/>
      <c r="D49" s="12"/>
      <c r="E49" s="12"/>
      <c r="F49" s="12"/>
      <c r="G49" s="12"/>
      <c r="H49" s="12"/>
      <c r="I49" s="12"/>
      <c r="J49" s="12"/>
    </row>
    <row r="50" spans="1:10" ht="33" x14ac:dyDescent="0.3">
      <c r="A50" s="104" t="s">
        <v>92</v>
      </c>
      <c r="B50" s="96" t="s">
        <v>93</v>
      </c>
      <c r="C50" s="88"/>
      <c r="D50" s="12"/>
      <c r="E50" s="12"/>
      <c r="F50" s="12"/>
      <c r="G50" s="12"/>
      <c r="H50" s="12"/>
      <c r="I50" s="12"/>
      <c r="J50" s="12"/>
    </row>
    <row r="51" spans="1:10" x14ac:dyDescent="0.3">
      <c r="A51" s="104"/>
      <c r="B51" s="96"/>
      <c r="C51" s="88"/>
      <c r="D51" s="12"/>
      <c r="E51" s="12"/>
      <c r="F51" s="12"/>
      <c r="G51" s="12"/>
      <c r="H51" s="12"/>
      <c r="I51" s="12"/>
      <c r="J51" s="12"/>
    </row>
    <row r="52" spans="1:10" ht="84" customHeight="1" x14ac:dyDescent="0.3">
      <c r="A52" s="104" t="s">
        <v>94</v>
      </c>
      <c r="B52" s="96" t="s">
        <v>95</v>
      </c>
      <c r="C52" s="88"/>
      <c r="D52" s="12"/>
      <c r="E52" s="12"/>
      <c r="F52" s="12"/>
      <c r="G52" s="12"/>
      <c r="H52" s="12"/>
      <c r="I52" s="12"/>
      <c r="J52" s="12"/>
    </row>
    <row r="53" spans="1:10" ht="46.5" customHeight="1" x14ac:dyDescent="0.3">
      <c r="A53" s="104" t="s">
        <v>96</v>
      </c>
      <c r="B53" s="96" t="s">
        <v>97</v>
      </c>
      <c r="C53" s="88"/>
      <c r="D53" s="12"/>
      <c r="E53" s="12"/>
      <c r="F53" s="12"/>
      <c r="G53" s="12"/>
      <c r="H53" s="12"/>
      <c r="I53" s="12"/>
      <c r="J53" s="12"/>
    </row>
    <row r="54" spans="1:10" ht="48" customHeight="1" x14ac:dyDescent="0.3">
      <c r="A54" s="109" t="s">
        <v>98</v>
      </c>
      <c r="B54" s="99" t="s">
        <v>99</v>
      </c>
      <c r="C54" s="88"/>
      <c r="D54" s="12"/>
      <c r="E54" s="12"/>
      <c r="F54" s="12"/>
      <c r="G54" s="12"/>
      <c r="H54" s="12"/>
      <c r="I54" s="12"/>
      <c r="J54" s="12"/>
    </row>
    <row r="55" spans="1:10" x14ac:dyDescent="0.3">
      <c r="A55" s="103" t="str">
        <f>A21</f>
        <v>Mursten</v>
      </c>
      <c r="B55" s="94"/>
      <c r="C55" s="88"/>
      <c r="D55" s="12"/>
      <c r="E55" s="12"/>
      <c r="F55" s="12"/>
      <c r="G55" s="12"/>
      <c r="H55" s="12"/>
      <c r="I55" s="12"/>
      <c r="J55" s="12"/>
    </row>
    <row r="56" spans="1:10" x14ac:dyDescent="0.3">
      <c r="A56" s="104"/>
      <c r="B56" s="96"/>
      <c r="C56" s="88"/>
      <c r="D56" s="12"/>
      <c r="E56" s="12"/>
      <c r="F56" s="12"/>
      <c r="G56" s="12"/>
      <c r="H56" s="12"/>
      <c r="I56" s="12"/>
      <c r="J56" s="12"/>
    </row>
    <row r="57" spans="1:10" x14ac:dyDescent="0.3">
      <c r="A57" s="104"/>
      <c r="B57" s="96"/>
      <c r="C57" s="88"/>
      <c r="D57" s="12"/>
      <c r="E57" s="12"/>
      <c r="F57" s="12"/>
      <c r="G57" s="12"/>
      <c r="H57" s="12"/>
      <c r="I57" s="12"/>
      <c r="J57" s="12"/>
    </row>
    <row r="58" spans="1:10" ht="24" customHeight="1" x14ac:dyDescent="0.3">
      <c r="A58" s="104" t="s">
        <v>100</v>
      </c>
      <c r="B58" s="96"/>
      <c r="C58" s="88"/>
      <c r="D58" s="12"/>
      <c r="E58" s="12"/>
      <c r="F58" s="12"/>
      <c r="G58" s="12"/>
      <c r="H58" s="12"/>
      <c r="I58" s="12"/>
      <c r="J58" s="12"/>
    </row>
    <row r="59" spans="1:10" ht="0.75" customHeight="1" x14ac:dyDescent="0.3">
      <c r="A59" s="112" t="s">
        <v>101</v>
      </c>
      <c r="B59" s="494" t="s">
        <v>102</v>
      </c>
      <c r="C59" s="88"/>
      <c r="F59" s="12"/>
      <c r="G59" s="12"/>
      <c r="H59" s="12"/>
      <c r="I59" s="12"/>
      <c r="J59" s="12"/>
    </row>
    <row r="60" spans="1:10" ht="24.75" hidden="1" customHeight="1" x14ac:dyDescent="0.3">
      <c r="A60" s="112" t="s">
        <v>103</v>
      </c>
      <c r="B60" s="494" t="s">
        <v>104</v>
      </c>
      <c r="C60" s="88"/>
      <c r="D60" s="12"/>
      <c r="E60" s="12"/>
      <c r="F60" s="12"/>
      <c r="G60" s="12"/>
      <c r="H60" s="12"/>
      <c r="I60" s="12"/>
      <c r="J60" s="12"/>
    </row>
    <row r="61" spans="1:10" ht="47.25" customHeight="1" x14ac:dyDescent="0.3">
      <c r="A61" s="104" t="s">
        <v>105</v>
      </c>
      <c r="B61" s="96" t="s">
        <v>106</v>
      </c>
      <c r="C61" s="88"/>
      <c r="D61" s="12"/>
      <c r="E61" s="12"/>
      <c r="F61" s="12"/>
      <c r="G61" s="12"/>
      <c r="H61" s="12"/>
      <c r="I61" s="12"/>
      <c r="J61" s="12"/>
    </row>
    <row r="62" spans="1:10" ht="93.75" customHeight="1" x14ac:dyDescent="0.3">
      <c r="A62" s="104" t="s">
        <v>107</v>
      </c>
      <c r="B62" s="96" t="s">
        <v>108</v>
      </c>
      <c r="C62" s="88"/>
      <c r="D62" s="12"/>
      <c r="E62" s="12"/>
      <c r="F62" s="12"/>
      <c r="G62" s="12"/>
      <c r="H62" s="12"/>
      <c r="I62" s="12"/>
      <c r="J62" s="12"/>
    </row>
    <row r="63" spans="1:10" ht="103.5" customHeight="1" x14ac:dyDescent="0.3">
      <c r="A63" s="153" t="s">
        <v>109</v>
      </c>
      <c r="B63" s="96" t="s">
        <v>110</v>
      </c>
      <c r="C63" s="88"/>
      <c r="D63" s="12"/>
      <c r="E63" s="12"/>
      <c r="F63" s="12"/>
      <c r="G63" s="12"/>
      <c r="H63" s="12"/>
      <c r="I63" s="12"/>
      <c r="J63" s="12"/>
    </row>
    <row r="64" spans="1:10" ht="66" customHeight="1" x14ac:dyDescent="0.3">
      <c r="A64" s="104" t="s">
        <v>111</v>
      </c>
      <c r="B64" s="96" t="s">
        <v>112</v>
      </c>
      <c r="C64" s="88"/>
      <c r="D64" s="12"/>
      <c r="E64" s="12"/>
      <c r="F64" s="12"/>
      <c r="G64" s="12"/>
      <c r="H64" s="12"/>
      <c r="I64" s="12"/>
      <c r="J64" s="12"/>
    </row>
    <row r="65" spans="1:10" ht="17.100000000000001" customHeight="1" x14ac:dyDescent="0.3">
      <c r="A65" s="104"/>
      <c r="B65" s="96"/>
      <c r="C65" s="88"/>
      <c r="D65" s="12"/>
      <c r="E65" s="12"/>
      <c r="F65" s="12"/>
      <c r="G65" s="12"/>
      <c r="H65" s="12"/>
      <c r="I65" s="12"/>
      <c r="J65" s="12"/>
    </row>
    <row r="66" spans="1:10" ht="15.95" customHeight="1" x14ac:dyDescent="0.3">
      <c r="A66" s="109"/>
      <c r="B66" s="99"/>
      <c r="C66" s="88"/>
      <c r="D66" s="12"/>
      <c r="E66" s="12"/>
      <c r="F66" s="12"/>
      <c r="G66" s="12"/>
      <c r="H66" s="12"/>
      <c r="I66" s="12"/>
      <c r="J66" s="12"/>
    </row>
    <row r="67" spans="1:10" ht="2.1" hidden="1" customHeight="1" x14ac:dyDescent="0.3">
      <c r="A67" s="356" t="s">
        <v>113</v>
      </c>
      <c r="B67" s="313"/>
      <c r="C67" s="88"/>
      <c r="D67" s="12"/>
      <c r="E67" s="12"/>
      <c r="F67" s="12"/>
      <c r="G67" s="12"/>
      <c r="H67" s="12"/>
      <c r="I67" s="12"/>
      <c r="J67" s="12"/>
    </row>
    <row r="68" spans="1:10" ht="24" hidden="1" customHeight="1" x14ac:dyDescent="0.3">
      <c r="A68" s="391" t="s">
        <v>79</v>
      </c>
      <c r="B68" s="391" t="s">
        <v>80</v>
      </c>
      <c r="C68" s="88"/>
      <c r="D68" s="12"/>
      <c r="E68" s="12"/>
      <c r="F68" s="12"/>
      <c r="G68" s="12"/>
      <c r="H68" s="12"/>
      <c r="I68" s="12"/>
      <c r="J68" s="12"/>
    </row>
    <row r="69" spans="1:10" ht="17.100000000000001" hidden="1" customHeight="1" x14ac:dyDescent="0.3">
      <c r="A69" s="110" t="s">
        <v>114</v>
      </c>
      <c r="B69" s="94"/>
      <c r="C69" s="88"/>
      <c r="D69" s="12"/>
      <c r="E69" s="12"/>
      <c r="F69" s="12"/>
      <c r="G69" s="12"/>
      <c r="H69" s="12"/>
      <c r="I69" s="12"/>
      <c r="J69" s="12"/>
    </row>
    <row r="70" spans="1:10" ht="17.100000000000001" hidden="1" customHeight="1" x14ac:dyDescent="0.3">
      <c r="A70" s="104" t="s">
        <v>115</v>
      </c>
      <c r="B70" s="111" t="s">
        <v>116</v>
      </c>
      <c r="C70" s="88"/>
      <c r="D70" s="12"/>
      <c r="E70" s="12"/>
      <c r="F70" s="12"/>
      <c r="G70" s="12"/>
      <c r="H70" s="12"/>
      <c r="I70" s="12"/>
      <c r="J70" s="12"/>
    </row>
    <row r="71" spans="1:10" ht="72" hidden="1" customHeight="1" x14ac:dyDescent="0.3">
      <c r="A71" s="104" t="s">
        <v>103</v>
      </c>
      <c r="B71" s="458" t="s">
        <v>117</v>
      </c>
      <c r="C71" s="88" t="s">
        <v>118</v>
      </c>
      <c r="D71" s="12"/>
      <c r="E71" s="12"/>
      <c r="F71" s="12"/>
      <c r="G71" s="12"/>
      <c r="H71" s="12"/>
      <c r="I71" s="12"/>
      <c r="J71" s="12"/>
    </row>
    <row r="72" spans="1:10" ht="33" hidden="1" x14ac:dyDescent="0.3">
      <c r="A72" s="104" t="s">
        <v>119</v>
      </c>
      <c r="B72" s="108" t="s">
        <v>120</v>
      </c>
      <c r="C72" s="88"/>
      <c r="D72" s="12"/>
      <c r="E72" s="12"/>
      <c r="F72" s="12"/>
      <c r="G72" s="12"/>
      <c r="H72" s="12"/>
      <c r="I72" s="12"/>
      <c r="J72" s="12"/>
    </row>
    <row r="73" spans="1:10" ht="33" hidden="1" x14ac:dyDescent="0.3">
      <c r="A73" s="104" t="s">
        <v>121</v>
      </c>
      <c r="B73" s="108" t="str">
        <f>B72</f>
        <v xml:space="preserve">Jorden skal prøvetages med henblik på forurening. Her kræves en §8 tilladelse.  </v>
      </c>
      <c r="C73" s="88"/>
      <c r="D73" s="12"/>
      <c r="E73" s="12"/>
      <c r="F73" s="12"/>
      <c r="G73" s="12"/>
      <c r="H73" s="12"/>
      <c r="I73" s="12"/>
      <c r="J73" s="12"/>
    </row>
    <row r="74" spans="1:10" hidden="1" x14ac:dyDescent="0.3">
      <c r="A74" s="104"/>
      <c r="B74" s="108"/>
      <c r="C74" s="88"/>
      <c r="D74" s="12"/>
      <c r="E74" s="12"/>
      <c r="F74" s="12"/>
      <c r="G74" s="12"/>
      <c r="H74" s="12"/>
      <c r="I74" s="12"/>
      <c r="J74" s="12"/>
    </row>
    <row r="75" spans="1:10" ht="33" hidden="1" x14ac:dyDescent="0.3">
      <c r="A75" s="104" t="s">
        <v>122</v>
      </c>
      <c r="B75" s="111" t="s">
        <v>116</v>
      </c>
      <c r="C75" s="88"/>
      <c r="D75" s="12"/>
      <c r="E75" s="12"/>
      <c r="F75" s="12"/>
      <c r="G75" s="12"/>
      <c r="H75" s="12"/>
      <c r="I75" s="12"/>
      <c r="J75" s="12"/>
    </row>
    <row r="76" spans="1:10" hidden="1" x14ac:dyDescent="0.3">
      <c r="A76" s="104" t="s">
        <v>103</v>
      </c>
      <c r="B76" s="108"/>
      <c r="C76" s="88"/>
      <c r="D76" s="12"/>
      <c r="E76" s="12"/>
      <c r="F76" s="12"/>
      <c r="G76" s="12"/>
      <c r="H76" s="12"/>
      <c r="I76" s="12"/>
      <c r="J76" s="12"/>
    </row>
    <row r="77" spans="1:10" hidden="1" x14ac:dyDescent="0.3">
      <c r="A77" s="104" t="s">
        <v>119</v>
      </c>
      <c r="B77" s="108"/>
      <c r="C77" s="88"/>
      <c r="D77" s="12"/>
      <c r="E77" s="12"/>
      <c r="F77" s="12"/>
      <c r="G77" s="12"/>
      <c r="H77" s="12"/>
      <c r="I77" s="12"/>
      <c r="J77" s="12"/>
    </row>
    <row r="78" spans="1:10" hidden="1" x14ac:dyDescent="0.3">
      <c r="A78" s="104" t="s">
        <v>121</v>
      </c>
      <c r="B78" s="108"/>
      <c r="C78" s="88"/>
      <c r="D78" s="12"/>
      <c r="E78" s="12"/>
      <c r="F78" s="12"/>
      <c r="G78" s="12"/>
      <c r="H78" s="12"/>
      <c r="I78" s="12"/>
      <c r="J78" s="12"/>
    </row>
    <row r="79" spans="1:10" ht="11.45" hidden="1" customHeight="1" x14ac:dyDescent="0.3">
      <c r="A79" s="104"/>
      <c r="B79" s="108"/>
      <c r="C79" s="88"/>
      <c r="D79" s="12"/>
      <c r="E79" s="12"/>
      <c r="F79" s="12"/>
      <c r="G79" s="12"/>
      <c r="H79" s="12"/>
      <c r="I79" s="12"/>
      <c r="J79" s="12"/>
    </row>
    <row r="80" spans="1:10" ht="44.1" hidden="1" customHeight="1" x14ac:dyDescent="0.3">
      <c r="A80" s="104"/>
      <c r="B80" s="96"/>
      <c r="C80" s="88"/>
      <c r="D80" s="12"/>
      <c r="E80" s="12"/>
      <c r="F80" s="12"/>
      <c r="G80" s="12"/>
      <c r="H80" s="12"/>
      <c r="I80" s="12"/>
      <c r="J80" s="12"/>
    </row>
    <row r="81" spans="1:10" ht="33" hidden="1" x14ac:dyDescent="0.3">
      <c r="A81" s="104" t="s">
        <v>123</v>
      </c>
      <c r="B81" s="111" t="s">
        <v>124</v>
      </c>
      <c r="C81" s="88"/>
      <c r="D81" s="12"/>
      <c r="E81" s="12"/>
      <c r="F81" s="12"/>
      <c r="G81" s="12"/>
      <c r="H81" s="12"/>
      <c r="I81" s="12"/>
      <c r="J81" s="12"/>
    </row>
    <row r="82" spans="1:10" hidden="1" x14ac:dyDescent="0.3">
      <c r="A82" s="104"/>
      <c r="B82" s="96"/>
      <c r="C82" s="88"/>
      <c r="D82" s="12"/>
      <c r="E82" s="12"/>
      <c r="F82" s="12"/>
      <c r="G82" s="12"/>
      <c r="H82" s="12"/>
      <c r="I82" s="12"/>
      <c r="J82" s="12"/>
    </row>
    <row r="83" spans="1:10" ht="33" hidden="1" x14ac:dyDescent="0.3">
      <c r="A83" s="112" t="s">
        <v>103</v>
      </c>
      <c r="B83" s="96" t="s">
        <v>104</v>
      </c>
      <c r="C83" s="88"/>
      <c r="D83" s="12"/>
      <c r="E83" s="12"/>
      <c r="F83" s="12"/>
      <c r="G83" s="12"/>
      <c r="H83" s="12"/>
      <c r="I83" s="12"/>
      <c r="J83" s="12"/>
    </row>
    <row r="84" spans="1:10" ht="33" hidden="1" x14ac:dyDescent="0.3">
      <c r="A84" s="104" t="s">
        <v>119</v>
      </c>
      <c r="B84" s="96" t="s">
        <v>104</v>
      </c>
      <c r="C84" s="88"/>
      <c r="D84" s="12"/>
      <c r="E84" s="12"/>
      <c r="F84" s="12"/>
      <c r="G84" s="12"/>
      <c r="H84" s="12"/>
      <c r="I84" s="12"/>
      <c r="J84" s="12"/>
    </row>
    <row r="85" spans="1:10" ht="33" hidden="1" x14ac:dyDescent="0.3">
      <c r="A85" s="104" t="s">
        <v>121</v>
      </c>
      <c r="B85" s="96" t="s">
        <v>104</v>
      </c>
      <c r="C85" s="88"/>
      <c r="D85" s="12"/>
      <c r="E85" s="12"/>
      <c r="F85" s="12"/>
      <c r="G85" s="12"/>
      <c r="H85" s="12"/>
      <c r="I85" s="12"/>
      <c r="J85" s="12"/>
    </row>
    <row r="86" spans="1:10" hidden="1" x14ac:dyDescent="0.3">
      <c r="A86" s="104"/>
      <c r="B86" s="96"/>
      <c r="C86" s="88"/>
      <c r="D86" s="12"/>
      <c r="E86" s="12"/>
      <c r="F86" s="12"/>
      <c r="G86" s="12"/>
      <c r="H86" s="12"/>
      <c r="I86" s="12"/>
      <c r="J86" s="12"/>
    </row>
    <row r="87" spans="1:10" ht="33" hidden="1" x14ac:dyDescent="0.3">
      <c r="A87" s="104" t="s">
        <v>125</v>
      </c>
      <c r="B87" s="111" t="s">
        <v>124</v>
      </c>
      <c r="C87" s="88"/>
      <c r="D87" s="12"/>
      <c r="E87" s="12"/>
      <c r="F87" s="12"/>
      <c r="G87" s="12"/>
      <c r="H87" s="12"/>
      <c r="I87" s="12"/>
      <c r="J87" s="12"/>
    </row>
    <row r="88" spans="1:10" hidden="1" x14ac:dyDescent="0.3">
      <c r="A88" s="104"/>
      <c r="B88" s="96"/>
      <c r="C88" s="88"/>
      <c r="D88" s="12"/>
      <c r="E88" s="12"/>
      <c r="F88" s="12"/>
      <c r="G88" s="12"/>
      <c r="H88" s="12"/>
      <c r="I88" s="12"/>
      <c r="J88" s="12"/>
    </row>
    <row r="89" spans="1:10" ht="66" hidden="1" x14ac:dyDescent="0.3">
      <c r="A89" s="112" t="s">
        <v>103</v>
      </c>
      <c r="B89" s="96" t="s">
        <v>126</v>
      </c>
      <c r="C89" s="88"/>
      <c r="D89" s="12"/>
      <c r="E89" s="12"/>
      <c r="F89" s="12"/>
      <c r="G89" s="12"/>
      <c r="H89" s="12"/>
      <c r="I89" s="12"/>
      <c r="J89" s="12"/>
    </row>
    <row r="90" spans="1:10" ht="66" hidden="1" x14ac:dyDescent="0.3">
      <c r="A90" s="104" t="s">
        <v>119</v>
      </c>
      <c r="B90" s="96" t="s">
        <v>126</v>
      </c>
      <c r="C90" s="88"/>
      <c r="D90" s="12"/>
      <c r="E90" s="12"/>
      <c r="F90" s="12"/>
      <c r="G90" s="12"/>
      <c r="H90" s="12"/>
      <c r="I90" s="12"/>
      <c r="J90" s="12"/>
    </row>
    <row r="91" spans="1:10" ht="66" hidden="1" x14ac:dyDescent="0.3">
      <c r="A91" s="104" t="s">
        <v>121</v>
      </c>
      <c r="B91" s="96" t="s">
        <v>126</v>
      </c>
      <c r="C91" s="88"/>
      <c r="D91" s="12"/>
      <c r="E91" s="12"/>
      <c r="F91" s="12"/>
      <c r="G91" s="12"/>
      <c r="H91" s="12"/>
      <c r="I91" s="12"/>
      <c r="J91" s="12"/>
    </row>
    <row r="92" spans="1:10" hidden="1" x14ac:dyDescent="0.3">
      <c r="A92" s="104"/>
      <c r="B92" s="108"/>
      <c r="C92" s="88"/>
      <c r="D92" s="12"/>
      <c r="E92" s="12"/>
      <c r="F92" s="12"/>
      <c r="G92" s="12"/>
      <c r="H92" s="12"/>
      <c r="I92" s="12"/>
      <c r="J92" s="12"/>
    </row>
    <row r="93" spans="1:10" ht="9.9499999999999993" hidden="1" customHeight="1" x14ac:dyDescent="0.3">
      <c r="A93" s="104"/>
      <c r="B93" s="108"/>
      <c r="C93" s="88"/>
      <c r="D93" s="12"/>
      <c r="E93" s="12"/>
      <c r="F93" s="12"/>
      <c r="G93" s="12"/>
      <c r="H93" s="12"/>
      <c r="I93" s="12"/>
      <c r="J93" s="12"/>
    </row>
    <row r="94" spans="1:10" ht="33" hidden="1" x14ac:dyDescent="0.3">
      <c r="A94" s="104" t="s">
        <v>123</v>
      </c>
      <c r="B94" s="113" t="s">
        <v>127</v>
      </c>
      <c r="C94" s="88"/>
      <c r="D94" s="12"/>
      <c r="E94" s="12"/>
      <c r="F94" s="12"/>
      <c r="G94" s="12"/>
      <c r="H94" s="12"/>
      <c r="I94" s="12"/>
      <c r="J94" s="12"/>
    </row>
    <row r="95" spans="1:10" hidden="1" x14ac:dyDescent="0.3">
      <c r="A95" s="104"/>
      <c r="B95" s="108"/>
      <c r="C95" s="88"/>
      <c r="D95" s="12"/>
      <c r="E95" s="12"/>
      <c r="F95" s="12"/>
      <c r="G95" s="12"/>
      <c r="H95" s="12"/>
      <c r="I95" s="12"/>
      <c r="J95" s="12"/>
    </row>
    <row r="96" spans="1:10" ht="33" hidden="1" x14ac:dyDescent="0.3">
      <c r="A96" s="112" t="s">
        <v>103</v>
      </c>
      <c r="B96" s="108" t="s">
        <v>128</v>
      </c>
      <c r="C96" s="88"/>
      <c r="D96" s="12"/>
      <c r="E96" s="12"/>
      <c r="F96" s="12"/>
      <c r="G96" s="12"/>
      <c r="H96" s="12"/>
      <c r="I96" s="12"/>
      <c r="J96" s="12"/>
    </row>
    <row r="97" spans="1:23" ht="33" hidden="1" x14ac:dyDescent="0.3">
      <c r="A97" s="104" t="s">
        <v>119</v>
      </c>
      <c r="B97" s="108" t="s">
        <v>128</v>
      </c>
      <c r="C97" s="88"/>
      <c r="D97" s="12"/>
      <c r="E97" s="12"/>
      <c r="F97" s="12"/>
      <c r="G97" s="12"/>
      <c r="H97" s="12"/>
      <c r="I97" s="12"/>
      <c r="J97" s="12"/>
    </row>
    <row r="98" spans="1:23" ht="33" hidden="1" x14ac:dyDescent="0.3">
      <c r="A98" s="104" t="s">
        <v>121</v>
      </c>
      <c r="B98" s="108" t="s">
        <v>128</v>
      </c>
      <c r="C98" s="88"/>
      <c r="D98" s="12"/>
      <c r="E98" s="12"/>
      <c r="F98" s="12"/>
      <c r="G98" s="12"/>
      <c r="H98" s="12"/>
      <c r="I98" s="12"/>
      <c r="J98" s="12"/>
    </row>
    <row r="99" spans="1:23" hidden="1" x14ac:dyDescent="0.3">
      <c r="A99" s="104"/>
      <c r="B99" s="108"/>
      <c r="C99" s="88"/>
      <c r="D99" s="12"/>
      <c r="E99" s="12"/>
      <c r="F99" s="12"/>
      <c r="G99" s="12"/>
      <c r="H99" s="12"/>
      <c r="I99" s="12"/>
      <c r="J99" s="12"/>
    </row>
    <row r="100" spans="1:23" ht="33" hidden="1" x14ac:dyDescent="0.3">
      <c r="A100" s="104" t="s">
        <v>129</v>
      </c>
      <c r="B100" s="113" t="s">
        <v>127</v>
      </c>
      <c r="C100" s="88"/>
      <c r="D100" s="12"/>
      <c r="E100" s="12"/>
      <c r="F100" s="12"/>
      <c r="G100" s="12"/>
      <c r="H100" s="12"/>
      <c r="I100" s="12"/>
      <c r="J100" s="12"/>
    </row>
    <row r="101" spans="1:23" hidden="1" x14ac:dyDescent="0.3">
      <c r="A101" s="104"/>
      <c r="B101" s="108"/>
      <c r="C101" s="88"/>
      <c r="D101" s="12"/>
      <c r="E101" s="12"/>
      <c r="F101" s="12"/>
      <c r="G101" s="12"/>
      <c r="H101" s="12"/>
      <c r="I101" s="12"/>
      <c r="J101" s="12"/>
    </row>
    <row r="102" spans="1:23" ht="66" hidden="1" x14ac:dyDescent="0.3">
      <c r="A102" s="112" t="s">
        <v>103</v>
      </c>
      <c r="B102" s="96" t="s">
        <v>130</v>
      </c>
      <c r="C102" s="88"/>
      <c r="D102" s="12"/>
      <c r="E102" s="12"/>
      <c r="F102" s="12"/>
      <c r="G102" s="12"/>
      <c r="H102" s="12"/>
      <c r="I102" s="12"/>
      <c r="J102" s="12"/>
    </row>
    <row r="103" spans="1:23" ht="66" hidden="1" x14ac:dyDescent="0.3">
      <c r="A103" s="104" t="s">
        <v>119</v>
      </c>
      <c r="B103" s="96" t="s">
        <v>130</v>
      </c>
      <c r="C103" s="88"/>
      <c r="D103" s="12"/>
      <c r="E103" s="12"/>
      <c r="F103" s="12"/>
      <c r="G103" s="12"/>
      <c r="H103" s="12"/>
      <c r="I103" s="12"/>
      <c r="J103" s="12"/>
    </row>
    <row r="104" spans="1:23" ht="66" hidden="1" x14ac:dyDescent="0.3">
      <c r="A104" s="104" t="s">
        <v>121</v>
      </c>
      <c r="B104" s="96" t="s">
        <v>130</v>
      </c>
      <c r="C104" s="88"/>
      <c r="D104" s="12"/>
      <c r="E104" s="12"/>
      <c r="F104" s="12"/>
      <c r="G104" s="12"/>
      <c r="H104" s="12"/>
      <c r="I104" s="12"/>
      <c r="J104" s="12"/>
    </row>
    <row r="105" spans="1:23" ht="18" hidden="1" x14ac:dyDescent="0.3">
      <c r="A105" s="104"/>
      <c r="B105" s="108"/>
      <c r="C105" s="88"/>
      <c r="D105" s="12"/>
      <c r="E105" s="12"/>
      <c r="F105" s="12"/>
      <c r="G105" s="12"/>
      <c r="H105" s="12"/>
      <c r="I105" s="12"/>
      <c r="J105" s="12"/>
      <c r="V105" s="63"/>
      <c r="W105" s="63"/>
    </row>
    <row r="106" spans="1:23" ht="18" hidden="1" x14ac:dyDescent="0.3">
      <c r="A106" s="109"/>
      <c r="B106" s="99"/>
      <c r="C106" s="88"/>
      <c r="D106" s="12"/>
      <c r="E106" s="12"/>
      <c r="F106" s="12"/>
      <c r="G106" s="12"/>
      <c r="H106" s="12"/>
      <c r="I106" s="12"/>
      <c r="J106" s="12"/>
      <c r="V106" s="63"/>
      <c r="W106" s="63"/>
    </row>
    <row r="107" spans="1:23" ht="18" hidden="1" x14ac:dyDescent="0.3">
      <c r="A107" s="110" t="s">
        <v>131</v>
      </c>
      <c r="B107" s="94"/>
      <c r="C107" s="88"/>
      <c r="D107" s="12"/>
      <c r="E107" s="12"/>
      <c r="F107" s="12"/>
      <c r="G107" s="12"/>
      <c r="H107" s="12"/>
      <c r="I107" s="12"/>
      <c r="J107" s="12"/>
      <c r="V107" s="63"/>
      <c r="W107" s="63"/>
    </row>
    <row r="108" spans="1:23" ht="13.5" hidden="1" customHeight="1" x14ac:dyDescent="0.3">
      <c r="A108" s="104"/>
      <c r="B108" s="96"/>
      <c r="C108" s="88"/>
      <c r="D108" s="12"/>
      <c r="E108" s="12"/>
      <c r="F108" s="12"/>
      <c r="G108" s="12"/>
      <c r="H108" s="12"/>
      <c r="I108" s="12"/>
      <c r="J108" s="12"/>
      <c r="V108" s="63"/>
      <c r="W108" s="63"/>
    </row>
    <row r="109" spans="1:23" ht="33" hidden="1" x14ac:dyDescent="0.3">
      <c r="A109" s="104" t="s">
        <v>132</v>
      </c>
      <c r="B109" s="96" t="s">
        <v>133</v>
      </c>
      <c r="C109" s="88"/>
      <c r="D109" s="12"/>
      <c r="E109" s="12"/>
      <c r="F109" s="12"/>
      <c r="G109" s="12"/>
      <c r="H109" s="12"/>
      <c r="I109" s="12"/>
      <c r="J109" s="12"/>
      <c r="V109" s="63"/>
      <c r="W109" s="63"/>
    </row>
    <row r="110" spans="1:23" ht="33" hidden="1" x14ac:dyDescent="0.3">
      <c r="A110" s="104" t="s">
        <v>134</v>
      </c>
      <c r="B110" s="96" t="s">
        <v>104</v>
      </c>
      <c r="C110" s="88"/>
      <c r="D110" s="12"/>
      <c r="E110" s="12"/>
      <c r="F110" s="12"/>
      <c r="G110" s="12"/>
      <c r="H110" s="12"/>
      <c r="I110" s="12"/>
      <c r="J110" s="12"/>
      <c r="V110" s="63"/>
      <c r="W110" s="63"/>
    </row>
    <row r="111" spans="1:23" ht="18" hidden="1" x14ac:dyDescent="0.3">
      <c r="A111" s="104"/>
      <c r="B111" s="96"/>
      <c r="C111" s="88"/>
      <c r="D111" s="12"/>
      <c r="E111" s="12"/>
      <c r="F111" s="12"/>
      <c r="G111" s="12"/>
      <c r="H111" s="12"/>
      <c r="I111" s="12"/>
      <c r="J111" s="12"/>
      <c r="V111" s="63"/>
      <c r="W111" s="63"/>
    </row>
    <row r="112" spans="1:23" ht="115.5" hidden="1" x14ac:dyDescent="0.3">
      <c r="A112" s="104" t="s">
        <v>135</v>
      </c>
      <c r="B112" s="96" t="s">
        <v>136</v>
      </c>
      <c r="C112" s="88"/>
      <c r="D112" s="12"/>
      <c r="E112" s="12"/>
      <c r="F112" s="12"/>
      <c r="G112" s="12"/>
      <c r="H112" s="12"/>
      <c r="I112" s="12"/>
      <c r="J112" s="12"/>
      <c r="V112" s="63"/>
      <c r="W112" s="63"/>
    </row>
    <row r="113" spans="1:23" ht="18" hidden="1" x14ac:dyDescent="0.3">
      <c r="A113" s="104"/>
      <c r="B113" s="96"/>
      <c r="C113" s="88"/>
      <c r="D113" s="12"/>
      <c r="E113" s="12"/>
      <c r="F113" s="12"/>
      <c r="G113" s="12"/>
      <c r="H113" s="12"/>
      <c r="I113" s="12"/>
      <c r="J113" s="12"/>
      <c r="V113" s="63"/>
      <c r="W113" s="63"/>
    </row>
    <row r="114" spans="1:23" ht="18" hidden="1" x14ac:dyDescent="0.3">
      <c r="A114" s="104"/>
      <c r="B114" s="96"/>
      <c r="C114" s="88"/>
      <c r="D114" s="12"/>
      <c r="E114" s="12"/>
      <c r="F114" s="12"/>
      <c r="G114" s="12"/>
      <c r="H114" s="12"/>
      <c r="I114" s="12"/>
      <c r="J114" s="12"/>
      <c r="V114" s="63"/>
      <c r="W114" s="63"/>
    </row>
    <row r="115" spans="1:23" ht="18" hidden="1" x14ac:dyDescent="0.3">
      <c r="A115" s="104"/>
      <c r="B115" s="96"/>
      <c r="C115" s="88"/>
      <c r="D115" s="12"/>
      <c r="E115" s="12"/>
      <c r="F115" s="12"/>
      <c r="G115" s="12"/>
      <c r="H115" s="12"/>
      <c r="I115" s="12"/>
      <c r="J115" s="12"/>
      <c r="V115" s="63"/>
      <c r="W115" s="63"/>
    </row>
    <row r="116" spans="1:23" ht="18" hidden="1" x14ac:dyDescent="0.3">
      <c r="A116" s="104"/>
      <c r="B116" s="96"/>
      <c r="C116" s="88"/>
      <c r="D116" s="12"/>
      <c r="E116" s="12"/>
      <c r="F116" s="12"/>
      <c r="G116" s="12"/>
      <c r="H116" s="12"/>
      <c r="I116" s="12"/>
      <c r="J116" s="12"/>
      <c r="V116" s="63"/>
      <c r="W116" s="63"/>
    </row>
    <row r="117" spans="1:23" ht="18" hidden="1" x14ac:dyDescent="0.3">
      <c r="A117" s="109"/>
      <c r="B117" s="99"/>
      <c r="C117" s="88"/>
      <c r="D117" s="12"/>
      <c r="E117" s="12"/>
      <c r="F117" s="12"/>
      <c r="G117" s="12"/>
      <c r="H117" s="12"/>
      <c r="I117" s="12"/>
      <c r="J117" s="12"/>
      <c r="V117" s="63"/>
      <c r="W117" s="63"/>
    </row>
    <row r="118" spans="1:23" ht="18" hidden="1" x14ac:dyDescent="0.3">
      <c r="A118" s="110" t="s">
        <v>137</v>
      </c>
      <c r="B118" s="94"/>
      <c r="C118" s="88"/>
      <c r="D118" s="12"/>
      <c r="E118" s="12"/>
      <c r="F118" s="12"/>
      <c r="G118" s="12"/>
      <c r="H118" s="12"/>
      <c r="I118" s="12"/>
      <c r="J118" s="12"/>
      <c r="V118" s="63"/>
      <c r="W118" s="63"/>
    </row>
    <row r="119" spans="1:23" ht="18" hidden="1" x14ac:dyDescent="0.3">
      <c r="A119" s="104"/>
      <c r="B119" s="96"/>
      <c r="C119" s="88"/>
      <c r="D119" s="12"/>
      <c r="E119" s="12"/>
      <c r="F119" s="12"/>
      <c r="G119" s="12"/>
      <c r="H119" s="12"/>
      <c r="I119" s="12"/>
      <c r="J119" s="12"/>
      <c r="V119" s="63"/>
      <c r="W119" s="63"/>
    </row>
    <row r="120" spans="1:23" ht="18" hidden="1" x14ac:dyDescent="0.3">
      <c r="A120" s="104"/>
      <c r="B120" s="96"/>
      <c r="C120" s="88"/>
      <c r="D120" s="12"/>
      <c r="E120" s="12"/>
      <c r="F120" s="12"/>
      <c r="G120" s="12"/>
      <c r="H120" s="12"/>
      <c r="I120" s="12"/>
      <c r="J120" s="12"/>
      <c r="V120" s="63"/>
      <c r="W120" s="63"/>
    </row>
    <row r="121" spans="1:23" ht="33" hidden="1" x14ac:dyDescent="0.3">
      <c r="A121" s="104" t="s">
        <v>138</v>
      </c>
      <c r="B121" s="108" t="s">
        <v>139</v>
      </c>
      <c r="C121" s="88"/>
      <c r="D121" s="12"/>
      <c r="E121" s="12"/>
      <c r="F121" s="12"/>
      <c r="G121" s="12"/>
      <c r="H121" s="12"/>
      <c r="I121" s="12"/>
      <c r="J121" s="12"/>
      <c r="V121" s="63"/>
      <c r="W121" s="63"/>
    </row>
    <row r="122" spans="1:23" ht="33" hidden="1" x14ac:dyDescent="0.3">
      <c r="A122" s="109" t="s">
        <v>140</v>
      </c>
      <c r="B122" s="99" t="s">
        <v>104</v>
      </c>
      <c r="C122" s="88"/>
      <c r="D122" s="12"/>
      <c r="E122" s="12"/>
      <c r="F122" s="12"/>
      <c r="G122" s="12"/>
      <c r="H122" s="12"/>
      <c r="I122" s="12"/>
      <c r="J122" s="12"/>
      <c r="V122" s="63"/>
      <c r="W122" s="63"/>
    </row>
    <row r="123" spans="1:23" ht="18" hidden="1" x14ac:dyDescent="0.3">
      <c r="A123" s="88"/>
      <c r="B123" s="88"/>
      <c r="C123" s="88"/>
      <c r="D123" s="12"/>
      <c r="E123" s="12"/>
      <c r="F123" s="12"/>
      <c r="G123" s="12"/>
      <c r="H123" s="12"/>
      <c r="I123" s="12"/>
      <c r="J123" s="12"/>
      <c r="V123" s="63"/>
      <c r="W123" s="63"/>
    </row>
    <row r="124" spans="1:23" ht="18" hidden="1" x14ac:dyDescent="0.3">
      <c r="A124" s="88"/>
      <c r="B124" s="88"/>
      <c r="C124" s="88"/>
      <c r="D124" s="12"/>
      <c r="E124" s="12"/>
      <c r="F124" s="12"/>
      <c r="G124" s="12"/>
      <c r="H124" s="12"/>
      <c r="I124" s="12"/>
      <c r="J124" s="12"/>
      <c r="V124" s="63"/>
      <c r="W124" s="63"/>
    </row>
    <row r="125" spans="1:23" ht="18" hidden="1" x14ac:dyDescent="0.3">
      <c r="A125" s="88"/>
      <c r="B125" s="88"/>
      <c r="C125" s="88"/>
      <c r="D125" s="12"/>
      <c r="E125" s="12"/>
      <c r="F125" s="12"/>
      <c r="G125" s="12"/>
      <c r="H125" s="12"/>
      <c r="I125" s="12"/>
      <c r="J125" s="12"/>
      <c r="V125" s="63"/>
      <c r="W125" s="63"/>
    </row>
    <row r="126" spans="1:23" ht="18" hidden="1" x14ac:dyDescent="0.3">
      <c r="A126" s="88"/>
      <c r="B126" s="88"/>
      <c r="C126" s="88"/>
      <c r="D126" s="12"/>
      <c r="E126" s="12"/>
      <c r="F126" s="12"/>
      <c r="G126" s="12"/>
      <c r="H126" s="12"/>
      <c r="I126" s="12"/>
      <c r="J126" s="12"/>
      <c r="V126" s="63"/>
      <c r="W126" s="63"/>
    </row>
    <row r="127" spans="1:23" ht="17.25" x14ac:dyDescent="0.3">
      <c r="A127" s="88"/>
      <c r="B127" s="88"/>
      <c r="C127" s="88"/>
      <c r="D127" s="12"/>
      <c r="E127" s="12"/>
      <c r="F127" s="12"/>
      <c r="G127" s="12"/>
      <c r="H127" s="12"/>
      <c r="I127" s="12"/>
      <c r="J127" s="12"/>
      <c r="V127" s="114"/>
      <c r="W127" s="450" t="s">
        <v>141</v>
      </c>
    </row>
    <row r="128" spans="1:23" ht="42.75" customHeight="1" x14ac:dyDescent="0.3">
      <c r="A128" s="316" t="s">
        <v>142</v>
      </c>
      <c r="B128" s="115"/>
      <c r="C128" s="115"/>
      <c r="D128" s="116"/>
      <c r="E128" s="116"/>
      <c r="F128" s="116"/>
      <c r="G128" s="116"/>
      <c r="H128" s="116"/>
      <c r="I128" s="116"/>
      <c r="J128" s="116"/>
      <c r="V128" s="114"/>
    </row>
    <row r="129" spans="1:22" x14ac:dyDescent="0.3">
      <c r="A129" s="267" t="s">
        <v>143</v>
      </c>
      <c r="B129" s="88"/>
      <c r="C129" s="88"/>
      <c r="D129" s="12"/>
      <c r="E129" s="12"/>
      <c r="F129" s="12"/>
      <c r="G129" s="12"/>
      <c r="H129" s="12"/>
      <c r="I129" s="12"/>
      <c r="J129" s="12"/>
      <c r="V129" s="114"/>
    </row>
    <row r="130" spans="1:22" ht="18" customHeight="1" x14ac:dyDescent="0.3">
      <c r="A130" s="357" t="s">
        <v>71</v>
      </c>
      <c r="B130" s="353"/>
      <c r="C130" s="353"/>
      <c r="D130" s="354"/>
      <c r="E130" s="354"/>
      <c r="F130" s="354"/>
      <c r="G130" s="355"/>
      <c r="H130" s="12"/>
      <c r="I130" s="12"/>
      <c r="J130" s="12"/>
      <c r="V130" s="114"/>
    </row>
    <row r="131" spans="1:22" x14ac:dyDescent="0.3">
      <c r="A131" s="298" t="s">
        <v>8</v>
      </c>
      <c r="B131" s="298" t="s">
        <v>144</v>
      </c>
      <c r="C131" s="299" t="s">
        <v>145</v>
      </c>
      <c r="D131" s="305"/>
      <c r="E131" s="306"/>
      <c r="F131" s="305"/>
      <c r="G131" s="300" t="s">
        <v>146</v>
      </c>
      <c r="H131" s="12"/>
      <c r="I131" s="12"/>
      <c r="J131" s="12"/>
      <c r="V131" s="114"/>
    </row>
    <row r="132" spans="1:22" ht="39.75" customHeight="1" x14ac:dyDescent="0.3">
      <c r="A132" s="284" t="s">
        <v>147</v>
      </c>
      <c r="B132" s="284" t="str">
        <f>Cirkuleringsgreb!C6</f>
        <v>Genbrug</v>
      </c>
      <c r="C132" s="117" t="s">
        <v>84</v>
      </c>
      <c r="D132" s="317" t="s">
        <v>88</v>
      </c>
      <c r="E132" s="119"/>
      <c r="F132" s="118"/>
      <c r="G132" s="284" t="s">
        <v>148</v>
      </c>
      <c r="H132" s="12"/>
      <c r="I132" s="12"/>
      <c r="J132" s="12"/>
      <c r="V132" s="114"/>
    </row>
    <row r="133" spans="1:22" x14ac:dyDescent="0.3">
      <c r="A133" s="142"/>
      <c r="B133" s="142" t="str">
        <f>Cirkuleringsgreb!C7</f>
        <v>Upcycling</v>
      </c>
      <c r="C133" s="95" t="s">
        <v>86</v>
      </c>
      <c r="D133" s="121"/>
      <c r="E133" s="122"/>
      <c r="F133" s="121"/>
      <c r="G133" s="143"/>
      <c r="H133" s="12"/>
      <c r="I133" s="12"/>
      <c r="J133" s="12"/>
      <c r="V133" s="114"/>
    </row>
    <row r="134" spans="1:22" x14ac:dyDescent="0.3">
      <c r="A134" s="142"/>
      <c r="B134" s="142" t="str">
        <f>Cirkuleringsgreb!C8</f>
        <v>Downcycling</v>
      </c>
      <c r="C134" s="95" t="s">
        <v>82</v>
      </c>
      <c r="D134" s="121"/>
      <c r="E134" s="122"/>
      <c r="F134" s="121"/>
      <c r="G134" s="143"/>
      <c r="H134" s="12"/>
      <c r="I134" s="12"/>
      <c r="J134" s="12"/>
      <c r="V134" s="114"/>
    </row>
    <row r="135" spans="1:22" x14ac:dyDescent="0.3">
      <c r="A135" s="142"/>
      <c r="B135" s="142"/>
      <c r="C135" s="95"/>
      <c r="D135" s="121"/>
      <c r="E135" s="122"/>
      <c r="F135" s="121"/>
      <c r="G135" s="143"/>
      <c r="H135" s="12"/>
      <c r="I135" s="12"/>
      <c r="J135" s="12"/>
      <c r="V135" s="114"/>
    </row>
    <row r="136" spans="1:22" x14ac:dyDescent="0.3">
      <c r="A136" s="142"/>
      <c r="B136" s="142"/>
      <c r="C136" s="95"/>
      <c r="D136" s="121"/>
      <c r="E136" s="122"/>
      <c r="F136" s="121"/>
      <c r="G136" s="143"/>
      <c r="H136" s="12"/>
      <c r="I136" s="12"/>
      <c r="J136" s="12"/>
      <c r="V136" s="114"/>
    </row>
    <row r="137" spans="1:22" x14ac:dyDescent="0.3">
      <c r="A137" s="142"/>
      <c r="B137" s="142"/>
      <c r="C137" s="95"/>
      <c r="D137" s="121"/>
      <c r="E137" s="122"/>
      <c r="F137" s="121"/>
      <c r="G137" s="143"/>
      <c r="H137" s="12"/>
      <c r="I137" s="12"/>
      <c r="J137" s="12"/>
      <c r="V137" s="114"/>
    </row>
    <row r="138" spans="1:22" x14ac:dyDescent="0.3">
      <c r="A138" s="285"/>
      <c r="B138" s="285"/>
      <c r="C138" s="97"/>
      <c r="D138" s="124"/>
      <c r="E138" s="125"/>
      <c r="F138" s="124"/>
      <c r="G138" s="290"/>
      <c r="H138" s="12"/>
      <c r="I138" s="12"/>
      <c r="J138" s="12"/>
      <c r="V138" s="114"/>
    </row>
    <row r="139" spans="1:22" x14ac:dyDescent="0.3">
      <c r="A139" s="298" t="s">
        <v>21</v>
      </c>
      <c r="B139" s="298" t="s">
        <v>144</v>
      </c>
      <c r="C139" s="299" t="s">
        <v>145</v>
      </c>
      <c r="D139" s="305"/>
      <c r="E139" s="306"/>
      <c r="F139" s="301"/>
      <c r="G139" s="300" t="s">
        <v>146</v>
      </c>
      <c r="H139" s="12"/>
      <c r="I139" s="12"/>
      <c r="J139" s="12"/>
      <c r="V139" s="114"/>
    </row>
    <row r="140" spans="1:22" x14ac:dyDescent="0.3">
      <c r="A140" s="286" t="s">
        <v>149</v>
      </c>
      <c r="B140" s="286"/>
      <c r="C140" s="274" t="s">
        <v>150</v>
      </c>
      <c r="D140" s="275" t="s">
        <v>151</v>
      </c>
      <c r="E140" s="276"/>
      <c r="F140" s="275"/>
      <c r="G140" s="146" t="s">
        <v>152</v>
      </c>
      <c r="H140" s="12"/>
      <c r="I140" s="12"/>
      <c r="J140" s="12"/>
      <c r="V140" s="114"/>
    </row>
    <row r="141" spans="1:22" ht="30.75" x14ac:dyDescent="0.3">
      <c r="A141" s="145"/>
      <c r="B141" s="145" t="str">
        <f>Cirkuleringsgreb!C6</f>
        <v>Genbrug</v>
      </c>
      <c r="C141" s="104">
        <v>1900</v>
      </c>
      <c r="D141" s="88" t="s">
        <v>153</v>
      </c>
      <c r="E141" s="130"/>
      <c r="F141" s="12"/>
      <c r="G141" s="297" t="s">
        <v>154</v>
      </c>
      <c r="H141" s="12"/>
      <c r="I141" s="12"/>
      <c r="J141" s="12"/>
      <c r="V141" s="114"/>
    </row>
    <row r="142" spans="1:22" x14ac:dyDescent="0.3">
      <c r="A142" s="145"/>
      <c r="B142" s="145" t="str">
        <f>Cirkuleringsgreb!C7</f>
        <v>Upcycling</v>
      </c>
      <c r="C142" s="104">
        <v>1900</v>
      </c>
      <c r="D142" s="12" t="s">
        <v>155</v>
      </c>
      <c r="E142" s="130"/>
      <c r="F142" s="12"/>
      <c r="G142" s="146"/>
      <c r="H142" s="12"/>
      <c r="I142" s="12"/>
      <c r="J142" s="12"/>
      <c r="V142" s="114"/>
    </row>
    <row r="143" spans="1:22" x14ac:dyDescent="0.3">
      <c r="A143" s="145"/>
      <c r="B143" s="145" t="str">
        <f>Cirkuleringsgreb!C8</f>
        <v>Downcycling</v>
      </c>
      <c r="C143" s="104">
        <v>1900</v>
      </c>
      <c r="D143" s="12" t="s">
        <v>155</v>
      </c>
      <c r="E143" s="130"/>
      <c r="F143" s="294"/>
      <c r="G143" s="146"/>
      <c r="H143" s="12"/>
      <c r="I143" s="12"/>
      <c r="J143" s="12"/>
      <c r="V143" s="114"/>
    </row>
    <row r="144" spans="1:22" x14ac:dyDescent="0.3">
      <c r="A144" s="145" t="s">
        <v>156</v>
      </c>
      <c r="B144" s="145"/>
      <c r="C144" s="292"/>
      <c r="E144" s="130"/>
      <c r="F144" s="294"/>
      <c r="G144" s="146"/>
      <c r="H144" s="12"/>
      <c r="I144" s="12"/>
      <c r="J144" s="12"/>
      <c r="V144" s="114"/>
    </row>
    <row r="145" spans="1:22" ht="21" customHeight="1" x14ac:dyDescent="0.3">
      <c r="A145" s="145"/>
      <c r="B145" s="145"/>
      <c r="C145" s="104"/>
      <c r="D145" s="12"/>
      <c r="E145" s="130"/>
      <c r="F145" s="294"/>
      <c r="G145" s="146"/>
      <c r="H145" s="12"/>
      <c r="I145" s="12"/>
      <c r="J145" s="12"/>
      <c r="V145" s="114"/>
    </row>
    <row r="146" spans="1:22" x14ac:dyDescent="0.3">
      <c r="A146" s="145"/>
      <c r="B146" s="145"/>
      <c r="C146" s="104"/>
      <c r="D146" s="12"/>
      <c r="E146" s="130"/>
      <c r="F146" s="294"/>
      <c r="G146" s="146"/>
      <c r="H146" s="12"/>
      <c r="I146" s="12"/>
      <c r="J146" s="12"/>
      <c r="V146" s="114"/>
    </row>
    <row r="147" spans="1:22" x14ac:dyDescent="0.3">
      <c r="A147" s="145" t="s">
        <v>157</v>
      </c>
      <c r="B147" s="145"/>
      <c r="C147" s="104" t="s">
        <v>150</v>
      </c>
      <c r="D147" s="12" t="s">
        <v>151</v>
      </c>
      <c r="E147" s="130"/>
      <c r="F147" s="294"/>
      <c r="G147" s="146"/>
      <c r="H147" s="12"/>
      <c r="I147" s="12"/>
      <c r="J147" s="12"/>
      <c r="V147" s="114"/>
    </row>
    <row r="148" spans="1:22" x14ac:dyDescent="0.3">
      <c r="A148" s="145"/>
      <c r="B148" s="145" t="str">
        <f>B141</f>
        <v>Genbrug</v>
      </c>
      <c r="C148" s="104">
        <v>3</v>
      </c>
      <c r="D148" s="12"/>
      <c r="E148" s="130"/>
      <c r="F148" s="12"/>
      <c r="G148" s="146"/>
      <c r="H148" s="12"/>
      <c r="I148" s="12"/>
      <c r="J148" s="12"/>
      <c r="V148" s="114"/>
    </row>
    <row r="149" spans="1:22" x14ac:dyDescent="0.3">
      <c r="A149" s="145"/>
      <c r="B149" s="145" t="str">
        <f>B142</f>
        <v>Upcycling</v>
      </c>
      <c r="C149" s="104">
        <v>2</v>
      </c>
      <c r="D149" s="12">
        <v>3</v>
      </c>
      <c r="E149" s="130"/>
      <c r="F149" s="12"/>
      <c r="G149" s="146"/>
      <c r="H149" s="12"/>
      <c r="I149" s="12"/>
      <c r="J149" s="12"/>
      <c r="V149" s="114"/>
    </row>
    <row r="150" spans="1:22" x14ac:dyDescent="0.3">
      <c r="A150" s="145"/>
      <c r="B150" s="145" t="str">
        <f>B143</f>
        <v>Downcycling</v>
      </c>
      <c r="C150" s="104"/>
      <c r="D150" s="12"/>
      <c r="E150" s="130"/>
      <c r="F150" s="12"/>
      <c r="G150" s="146"/>
      <c r="H150" s="12"/>
      <c r="I150" s="12"/>
      <c r="J150" s="12"/>
      <c r="V150" s="114"/>
    </row>
    <row r="151" spans="1:22" x14ac:dyDescent="0.3">
      <c r="A151" s="145"/>
      <c r="B151" s="145"/>
      <c r="C151" s="104"/>
      <c r="D151" s="12"/>
      <c r="E151" s="130"/>
      <c r="F151" s="12"/>
      <c r="G151" s="146"/>
      <c r="H151" s="12"/>
      <c r="I151" s="12"/>
      <c r="J151" s="12"/>
      <c r="V151" s="114"/>
    </row>
    <row r="152" spans="1:22" x14ac:dyDescent="0.3">
      <c r="A152" s="148"/>
      <c r="B152" s="148"/>
      <c r="C152" s="109"/>
      <c r="D152" s="131"/>
      <c r="E152" s="132"/>
      <c r="F152" s="131"/>
      <c r="G152" s="146"/>
      <c r="H152" s="12"/>
      <c r="I152" s="12"/>
      <c r="J152" s="12"/>
      <c r="V152" s="114"/>
    </row>
    <row r="153" spans="1:22" x14ac:dyDescent="0.3">
      <c r="A153" s="298" t="s">
        <v>25</v>
      </c>
      <c r="B153" s="302" t="s">
        <v>144</v>
      </c>
      <c r="C153" s="303" t="s">
        <v>145</v>
      </c>
      <c r="D153" s="305"/>
      <c r="E153" s="306"/>
      <c r="F153" s="305"/>
      <c r="G153" s="300" t="s">
        <v>146</v>
      </c>
      <c r="H153" s="12"/>
      <c r="I153" s="12"/>
      <c r="J153" s="12"/>
      <c r="V153" s="114"/>
    </row>
    <row r="154" spans="1:22" x14ac:dyDescent="0.3">
      <c r="A154" s="284"/>
      <c r="B154" s="284"/>
      <c r="C154" s="117"/>
      <c r="D154" s="118"/>
      <c r="E154" s="119"/>
      <c r="F154" s="118"/>
      <c r="G154" s="284" t="s">
        <v>148</v>
      </c>
      <c r="H154" s="12"/>
      <c r="I154" s="12"/>
      <c r="J154" s="12"/>
      <c r="V154" s="114"/>
    </row>
    <row r="155" spans="1:22" x14ac:dyDescent="0.3">
      <c r="A155" s="142" t="s">
        <v>158</v>
      </c>
      <c r="B155" s="142"/>
      <c r="C155" s="95">
        <v>1960</v>
      </c>
      <c r="D155" s="121"/>
      <c r="E155" s="122"/>
      <c r="F155" s="121"/>
      <c r="G155" s="143"/>
      <c r="H155" s="12"/>
      <c r="I155" s="12"/>
      <c r="J155" s="12"/>
      <c r="V155" s="114"/>
    </row>
    <row r="156" spans="1:22" x14ac:dyDescent="0.3">
      <c r="A156" s="142"/>
      <c r="B156" s="142"/>
      <c r="C156" s="95" t="s">
        <v>159</v>
      </c>
      <c r="D156" s="121"/>
      <c r="E156" s="122"/>
      <c r="F156" s="121"/>
      <c r="G156" s="143"/>
      <c r="H156" s="12"/>
      <c r="I156" s="12"/>
      <c r="J156" s="12"/>
      <c r="V156" s="114"/>
    </row>
    <row r="157" spans="1:22" x14ac:dyDescent="0.3">
      <c r="A157" s="142"/>
      <c r="B157" s="142" t="str">
        <f>B132</f>
        <v>Genbrug</v>
      </c>
      <c r="C157" s="95" t="s">
        <v>84</v>
      </c>
      <c r="D157" s="121"/>
      <c r="E157" s="122"/>
      <c r="F157" s="121"/>
      <c r="G157" s="143"/>
      <c r="H157" s="12"/>
      <c r="I157" s="12"/>
      <c r="J157" s="12"/>
      <c r="V157" s="114"/>
    </row>
    <row r="158" spans="1:22" x14ac:dyDescent="0.3">
      <c r="A158" s="142"/>
      <c r="B158" s="142" t="str">
        <f>B133</f>
        <v>Upcycling</v>
      </c>
      <c r="C158" s="95"/>
      <c r="D158" s="121"/>
      <c r="E158" s="122"/>
      <c r="F158" s="121"/>
      <c r="G158" s="143"/>
      <c r="H158" s="12"/>
      <c r="I158" s="12"/>
      <c r="J158" s="12"/>
      <c r="V158" s="114"/>
    </row>
    <row r="159" spans="1:22" x14ac:dyDescent="0.3">
      <c r="A159" s="142"/>
      <c r="B159" s="142" t="str">
        <f>B134</f>
        <v>Downcycling</v>
      </c>
      <c r="C159" s="95"/>
      <c r="D159" s="121"/>
      <c r="E159" s="122"/>
      <c r="F159" s="121"/>
      <c r="G159" s="143"/>
      <c r="H159" s="12"/>
      <c r="I159" s="12"/>
      <c r="J159" s="12"/>
      <c r="V159" s="114"/>
    </row>
    <row r="160" spans="1:22" x14ac:dyDescent="0.3">
      <c r="A160" s="142"/>
      <c r="B160" s="142"/>
      <c r="C160" s="95"/>
      <c r="D160" s="121"/>
      <c r="E160" s="122"/>
      <c r="F160" s="121"/>
      <c r="G160" s="143"/>
      <c r="H160" s="12"/>
      <c r="I160" s="12"/>
      <c r="J160" s="12"/>
      <c r="V160" s="114"/>
    </row>
    <row r="161" spans="1:22" x14ac:dyDescent="0.3">
      <c r="A161" s="142"/>
      <c r="B161" s="142"/>
      <c r="C161" s="95"/>
      <c r="D161" s="121"/>
      <c r="E161" s="122"/>
      <c r="F161" s="121"/>
      <c r="G161" s="143"/>
      <c r="H161" s="12"/>
      <c r="I161" s="12"/>
      <c r="J161" s="12"/>
      <c r="V161" s="114"/>
    </row>
    <row r="162" spans="1:22" ht="12.95" customHeight="1" x14ac:dyDescent="0.3">
      <c r="A162" s="142"/>
      <c r="B162" s="142"/>
      <c r="C162" s="95"/>
      <c r="D162" s="121"/>
      <c r="E162" s="122"/>
      <c r="F162" s="121"/>
      <c r="G162" s="143"/>
      <c r="H162" s="12"/>
      <c r="I162" s="12"/>
      <c r="J162" s="12"/>
      <c r="V162" s="114"/>
    </row>
    <row r="163" spans="1:22" ht="21" hidden="1" customHeight="1" x14ac:dyDescent="0.3">
      <c r="A163" s="356" t="s">
        <v>113</v>
      </c>
      <c r="B163" s="313"/>
      <c r="C163" s="313"/>
      <c r="D163" s="314"/>
      <c r="E163" s="314"/>
      <c r="F163" s="314"/>
      <c r="G163" s="315"/>
      <c r="H163" s="12"/>
      <c r="I163" s="12"/>
      <c r="J163" s="12"/>
      <c r="V163" s="114"/>
    </row>
    <row r="164" spans="1:22" hidden="1" x14ac:dyDescent="0.3">
      <c r="A164" s="307" t="e">
        <f>B9</f>
        <v>#REF!</v>
      </c>
      <c r="B164" s="308" t="s">
        <v>144</v>
      </c>
      <c r="C164" s="309" t="s">
        <v>145</v>
      </c>
      <c r="D164" s="310"/>
      <c r="E164" s="311"/>
      <c r="F164" s="310"/>
      <c r="G164" s="312" t="s">
        <v>146</v>
      </c>
      <c r="H164" s="12"/>
      <c r="I164" s="12"/>
      <c r="J164" s="12"/>
      <c r="V164" s="114"/>
    </row>
    <row r="165" spans="1:22" ht="45" hidden="1" x14ac:dyDescent="0.3">
      <c r="A165" s="287"/>
      <c r="B165" s="287" t="str">
        <f>Cirkuleringsgreb!B15</f>
        <v>Genbrug på matriklen</v>
      </c>
      <c r="C165" s="293" t="s">
        <v>124</v>
      </c>
      <c r="D165" s="128"/>
      <c r="E165" s="130"/>
      <c r="F165" s="128"/>
      <c r="G165" s="451" t="s">
        <v>160</v>
      </c>
      <c r="H165" s="12"/>
      <c r="I165" s="12"/>
      <c r="J165" s="12"/>
      <c r="V165" s="114"/>
    </row>
    <row r="166" spans="1:22" hidden="1" x14ac:dyDescent="0.3">
      <c r="A166" s="145"/>
      <c r="B166" s="145"/>
      <c r="C166" s="294" t="s">
        <v>161</v>
      </c>
      <c r="D166" s="12"/>
      <c r="E166" s="130"/>
      <c r="F166" s="12"/>
      <c r="G166" s="453"/>
      <c r="H166" s="12"/>
      <c r="I166" s="12"/>
      <c r="J166" s="12"/>
    </row>
    <row r="167" spans="1:22" ht="30" hidden="1" x14ac:dyDescent="0.3">
      <c r="A167" s="145"/>
      <c r="B167" s="145"/>
      <c r="C167" s="294" t="s">
        <v>116</v>
      </c>
      <c r="D167" s="12"/>
      <c r="E167" s="130"/>
      <c r="F167" s="12"/>
      <c r="G167" s="452" t="s">
        <v>162</v>
      </c>
      <c r="H167" s="12"/>
      <c r="I167" s="12"/>
      <c r="J167" s="12"/>
    </row>
    <row r="168" spans="1:22" hidden="1" x14ac:dyDescent="0.3">
      <c r="A168" s="288" t="s">
        <v>163</v>
      </c>
      <c r="B168" s="145"/>
      <c r="C168" s="104"/>
      <c r="D168" s="12"/>
      <c r="E168" s="130"/>
      <c r="F168" s="12"/>
      <c r="G168" s="146"/>
      <c r="H168" s="12"/>
      <c r="I168" s="12"/>
      <c r="J168" s="12"/>
    </row>
    <row r="169" spans="1:22" hidden="1" x14ac:dyDescent="0.3">
      <c r="A169" s="145"/>
      <c r="B169" s="145"/>
      <c r="C169" s="104"/>
      <c r="D169" s="12"/>
      <c r="E169" s="130"/>
      <c r="F169" s="12"/>
      <c r="G169" s="146"/>
      <c r="H169" s="12"/>
      <c r="I169" s="12"/>
      <c r="J169" s="12"/>
    </row>
    <row r="170" spans="1:22" ht="30" hidden="1" x14ac:dyDescent="0.3">
      <c r="A170" s="145" t="s">
        <v>164</v>
      </c>
      <c r="B170" s="145" t="str">
        <f>Cirkuleringsgreb!B16</f>
        <v>Genbrug eller genanvendelse udenfor matriklen</v>
      </c>
      <c r="C170" s="104"/>
      <c r="D170" s="12"/>
      <c r="E170" s="130"/>
      <c r="F170" s="12"/>
      <c r="G170" s="452" t="s">
        <v>165</v>
      </c>
      <c r="H170" s="12"/>
      <c r="I170" s="12"/>
      <c r="J170" s="12"/>
    </row>
    <row r="171" spans="1:22" hidden="1" x14ac:dyDescent="0.3">
      <c r="A171" s="148"/>
      <c r="B171" s="148" t="str">
        <f>Cirkuleringsgreb!B17</f>
        <v>Deponi</v>
      </c>
      <c r="C171" s="109"/>
      <c r="D171" s="131"/>
      <c r="E171" s="132"/>
      <c r="F171" s="131"/>
      <c r="G171" s="454"/>
      <c r="H171" s="12"/>
      <c r="I171" s="12"/>
      <c r="J171" s="12"/>
    </row>
    <row r="172" spans="1:22" hidden="1" x14ac:dyDescent="0.3">
      <c r="A172" s="298" t="e">
        <f>C9</f>
        <v>#REF!</v>
      </c>
      <c r="B172" s="298" t="s">
        <v>144</v>
      </c>
      <c r="C172" s="299" t="s">
        <v>145</v>
      </c>
      <c r="D172" s="301"/>
      <c r="E172" s="304"/>
      <c r="F172" s="301" t="s">
        <v>166</v>
      </c>
      <c r="G172" s="300"/>
      <c r="H172" s="12"/>
      <c r="I172" s="12"/>
      <c r="J172" s="12"/>
    </row>
    <row r="173" spans="1:22" hidden="1" x14ac:dyDescent="0.3">
      <c r="A173" s="289" t="s">
        <v>149</v>
      </c>
      <c r="B173" s="289"/>
      <c r="C173" s="277" t="s">
        <v>150</v>
      </c>
      <c r="D173" s="278" t="s">
        <v>151</v>
      </c>
      <c r="E173" s="119"/>
      <c r="F173" s="118"/>
      <c r="G173" s="143"/>
      <c r="H173" s="12"/>
      <c r="I173" s="12"/>
      <c r="J173" s="12"/>
    </row>
    <row r="174" spans="1:22" ht="137.1" hidden="1" customHeight="1" x14ac:dyDescent="0.3">
      <c r="A174" s="143"/>
      <c r="B174" s="291" t="s">
        <v>167</v>
      </c>
      <c r="C174" s="135">
        <v>1976</v>
      </c>
      <c r="D174" s="121" t="s">
        <v>155</v>
      </c>
      <c r="E174" s="122" t="s">
        <v>168</v>
      </c>
      <c r="F174" s="136" t="s">
        <v>169</v>
      </c>
      <c r="G174" s="318"/>
      <c r="H174" s="137"/>
      <c r="I174" s="137"/>
      <c r="J174" s="137"/>
      <c r="K174" s="137"/>
      <c r="L174" s="137"/>
      <c r="M174" s="137"/>
      <c r="N174" s="137"/>
      <c r="O174" s="137"/>
      <c r="P174" s="137"/>
    </row>
    <row r="175" spans="1:22" hidden="1" x14ac:dyDescent="0.3">
      <c r="A175" s="143"/>
      <c r="B175" s="291" t="s">
        <v>170</v>
      </c>
      <c r="C175" s="135"/>
      <c r="D175" s="121" t="s">
        <v>155</v>
      </c>
      <c r="E175" s="122"/>
      <c r="F175" s="121"/>
      <c r="G175" s="143"/>
      <c r="H175" s="12"/>
      <c r="I175" s="12"/>
      <c r="J175" s="12"/>
    </row>
    <row r="176" spans="1:22" ht="45.6" hidden="1" customHeight="1" x14ac:dyDescent="0.3">
      <c r="A176" s="143"/>
      <c r="B176" s="291" t="s">
        <v>171</v>
      </c>
      <c r="C176" s="135"/>
      <c r="D176" s="121">
        <v>1976</v>
      </c>
      <c r="E176" s="122"/>
      <c r="F176" s="121" t="s">
        <v>172</v>
      </c>
      <c r="G176" s="143"/>
      <c r="H176" s="12"/>
      <c r="I176" s="12"/>
      <c r="J176" s="12"/>
    </row>
    <row r="177" spans="1:10" hidden="1" x14ac:dyDescent="0.3">
      <c r="A177" s="143"/>
      <c r="B177" s="143"/>
      <c r="C177" s="135"/>
      <c r="D177" s="121"/>
      <c r="E177" s="122"/>
      <c r="F177" s="121"/>
      <c r="G177" s="143"/>
      <c r="H177" s="12"/>
      <c r="I177" s="12"/>
      <c r="J177" s="12"/>
    </row>
    <row r="178" spans="1:10" ht="3" hidden="1" customHeight="1" x14ac:dyDescent="0.3">
      <c r="A178" s="143"/>
      <c r="B178" s="143"/>
      <c r="C178" s="135"/>
      <c r="D178" s="121"/>
      <c r="E178" s="122"/>
      <c r="F178" s="295"/>
      <c r="G178" s="143"/>
      <c r="H178" s="12"/>
      <c r="I178" s="12"/>
      <c r="J178" s="12"/>
    </row>
    <row r="179" spans="1:10" hidden="1" x14ac:dyDescent="0.3">
      <c r="A179" s="143"/>
      <c r="B179" s="143"/>
      <c r="C179" s="135"/>
      <c r="D179" s="121"/>
      <c r="E179" s="122"/>
      <c r="F179" s="121"/>
      <c r="G179" s="143"/>
      <c r="H179" s="12"/>
      <c r="I179" s="12"/>
      <c r="J179" s="12"/>
    </row>
    <row r="180" spans="1:10" hidden="1" x14ac:dyDescent="0.3">
      <c r="A180" s="143"/>
      <c r="B180" s="143"/>
      <c r="C180" s="135"/>
      <c r="D180" s="121"/>
      <c r="E180" s="122"/>
      <c r="F180" s="121"/>
      <c r="G180" s="143"/>
      <c r="H180" s="12"/>
      <c r="I180" s="12"/>
      <c r="J180" s="12"/>
    </row>
    <row r="181" spans="1:10" hidden="1" x14ac:dyDescent="0.3">
      <c r="A181" s="143"/>
      <c r="B181" s="143"/>
      <c r="C181" s="135"/>
      <c r="D181" s="121"/>
      <c r="E181" s="122"/>
      <c r="F181" s="121"/>
      <c r="G181" s="143"/>
      <c r="H181" s="12"/>
      <c r="I181" s="12"/>
      <c r="J181" s="12"/>
    </row>
    <row r="182" spans="1:10" hidden="1" x14ac:dyDescent="0.3">
      <c r="A182" s="143"/>
      <c r="B182" s="143"/>
      <c r="C182" s="135"/>
      <c r="D182" s="121"/>
      <c r="E182" s="122"/>
      <c r="F182" s="121"/>
      <c r="G182" s="143"/>
      <c r="H182" s="12"/>
      <c r="I182" s="12"/>
      <c r="J182" s="12"/>
    </row>
    <row r="183" spans="1:10" hidden="1" x14ac:dyDescent="0.3">
      <c r="A183" s="143"/>
      <c r="B183" s="143"/>
      <c r="C183" s="135"/>
      <c r="D183" s="121"/>
      <c r="E183" s="122"/>
      <c r="F183" s="121"/>
      <c r="G183" s="143"/>
      <c r="H183" s="12"/>
      <c r="I183" s="12"/>
      <c r="J183" s="12"/>
    </row>
    <row r="184" spans="1:10" hidden="1" x14ac:dyDescent="0.3">
      <c r="A184" s="143"/>
      <c r="B184" s="143"/>
      <c r="C184" s="135"/>
      <c r="D184" s="121"/>
      <c r="E184" s="122"/>
      <c r="F184" s="121"/>
      <c r="G184" s="143"/>
      <c r="H184" s="12"/>
      <c r="I184" s="12"/>
      <c r="J184" s="12"/>
    </row>
    <row r="185" spans="1:10" hidden="1" x14ac:dyDescent="0.3">
      <c r="A185" s="290"/>
      <c r="B185" s="290"/>
      <c r="C185" s="138"/>
      <c r="D185" s="124"/>
      <c r="E185" s="125"/>
      <c r="F185" s="124"/>
      <c r="G185" s="143"/>
      <c r="H185" s="12"/>
      <c r="I185" s="12"/>
      <c r="J185" s="12"/>
    </row>
    <row r="186" spans="1:10" hidden="1" x14ac:dyDescent="0.3">
      <c r="A186" s="298" t="e">
        <f>D9</f>
        <v>#REF!</v>
      </c>
      <c r="B186" s="298" t="s">
        <v>144</v>
      </c>
      <c r="C186" s="299"/>
      <c r="D186" s="301"/>
      <c r="E186" s="304"/>
      <c r="F186" s="301" t="s">
        <v>166</v>
      </c>
      <c r="G186" s="300"/>
      <c r="H186" s="12"/>
      <c r="I186" s="12"/>
      <c r="J186" s="12"/>
    </row>
    <row r="187" spans="1:10" hidden="1" x14ac:dyDescent="0.3">
      <c r="A187" s="287"/>
      <c r="B187" s="287"/>
      <c r="C187" s="127"/>
      <c r="D187" s="128"/>
      <c r="E187" s="129"/>
      <c r="F187" s="128"/>
      <c r="G187" s="146"/>
      <c r="H187" s="12"/>
      <c r="I187" s="12"/>
      <c r="J187" s="12"/>
    </row>
    <row r="188" spans="1:10" hidden="1" x14ac:dyDescent="0.3">
      <c r="A188" s="145"/>
      <c r="B188" s="145"/>
      <c r="C188" s="104"/>
      <c r="D188" s="12"/>
      <c r="E188" s="130"/>
      <c r="F188" s="12"/>
      <c r="G188" s="146"/>
      <c r="H188" s="12"/>
      <c r="I188" s="12"/>
      <c r="J188" s="12"/>
    </row>
    <row r="189" spans="1:10" hidden="1" x14ac:dyDescent="0.3">
      <c r="A189" s="145"/>
      <c r="B189" s="145"/>
      <c r="C189" s="104"/>
      <c r="D189" s="12"/>
      <c r="E189" s="130"/>
      <c r="F189" s="12"/>
      <c r="G189" s="146"/>
      <c r="H189" s="12"/>
      <c r="I189" s="12"/>
      <c r="J189" s="12"/>
    </row>
    <row r="190" spans="1:10" hidden="1" x14ac:dyDescent="0.3">
      <c r="A190" s="145"/>
      <c r="B190" s="145" t="s">
        <v>167</v>
      </c>
      <c r="C190" s="104"/>
      <c r="D190" s="12"/>
      <c r="E190" s="130"/>
      <c r="F190" s="12"/>
      <c r="G190" s="146"/>
      <c r="H190" s="12"/>
      <c r="I190" s="12"/>
      <c r="J190" s="12"/>
    </row>
    <row r="191" spans="1:10" hidden="1" x14ac:dyDescent="0.3">
      <c r="A191" s="145"/>
      <c r="B191" s="145" t="s">
        <v>173</v>
      </c>
      <c r="C191" s="104"/>
      <c r="D191" s="12"/>
      <c r="E191" s="130"/>
      <c r="F191" s="12"/>
      <c r="G191" s="146"/>
      <c r="H191" s="12"/>
      <c r="I191" s="12"/>
      <c r="J191" s="12"/>
    </row>
    <row r="192" spans="1:10" ht="57" hidden="1" customHeight="1" x14ac:dyDescent="0.3">
      <c r="A192" s="145"/>
      <c r="B192" s="145" t="s">
        <v>174</v>
      </c>
      <c r="C192" s="104"/>
      <c r="D192" s="12"/>
      <c r="E192" s="130"/>
      <c r="F192" s="137" t="s">
        <v>175</v>
      </c>
      <c r="G192" s="146"/>
      <c r="H192" s="12"/>
      <c r="I192" s="12"/>
      <c r="J192" s="12"/>
    </row>
    <row r="193" spans="1:1229" hidden="1" x14ac:dyDescent="0.3">
      <c r="A193" s="145"/>
      <c r="B193" s="145"/>
      <c r="C193" s="104"/>
      <c r="D193" s="12"/>
      <c r="E193" s="130"/>
      <c r="F193" s="11"/>
      <c r="G193" s="146"/>
      <c r="H193" s="12"/>
      <c r="I193" s="12"/>
      <c r="J193" s="12"/>
    </row>
    <row r="194" spans="1:1229" hidden="1" x14ac:dyDescent="0.3">
      <c r="A194" s="145"/>
      <c r="B194" s="145"/>
      <c r="C194" s="104"/>
      <c r="D194" s="12"/>
      <c r="E194" s="130"/>
      <c r="F194" s="12"/>
      <c r="G194" s="146"/>
      <c r="H194" s="12"/>
      <c r="I194" s="12"/>
      <c r="J194" s="12"/>
    </row>
    <row r="195" spans="1:1229" hidden="1" x14ac:dyDescent="0.3">
      <c r="A195" s="145"/>
      <c r="B195" s="145"/>
      <c r="C195" s="104"/>
      <c r="D195" s="12"/>
      <c r="E195" s="130"/>
      <c r="F195" s="12"/>
      <c r="G195" s="146"/>
      <c r="H195" s="12"/>
      <c r="I195" s="12"/>
      <c r="J195" s="12"/>
    </row>
    <row r="196" spans="1:1229" hidden="1" x14ac:dyDescent="0.3">
      <c r="A196" s="145"/>
      <c r="B196" s="145"/>
      <c r="C196" s="104"/>
      <c r="D196" s="12"/>
      <c r="E196" s="130"/>
      <c r="F196" s="12"/>
      <c r="G196" s="146"/>
      <c r="H196" s="12"/>
      <c r="I196" s="12"/>
      <c r="J196" s="12"/>
    </row>
    <row r="197" spans="1:1229" hidden="1" x14ac:dyDescent="0.3">
      <c r="A197" s="145"/>
      <c r="B197" s="145"/>
      <c r="C197" s="104"/>
      <c r="D197" s="12"/>
      <c r="E197" s="130"/>
      <c r="F197" s="12"/>
      <c r="G197" s="146"/>
      <c r="H197" s="12"/>
      <c r="I197" s="12"/>
      <c r="J197" s="12"/>
    </row>
    <row r="198" spans="1:1229" hidden="1" x14ac:dyDescent="0.3">
      <c r="A198" s="145"/>
      <c r="B198" s="145"/>
      <c r="C198" s="104"/>
      <c r="D198" s="12"/>
      <c r="E198" s="130"/>
      <c r="F198" s="12"/>
      <c r="G198" s="146"/>
      <c r="H198" s="12"/>
      <c r="I198" s="12"/>
      <c r="J198" s="12"/>
    </row>
    <row r="199" spans="1:1229" hidden="1" x14ac:dyDescent="0.3">
      <c r="A199" s="145"/>
      <c r="B199" s="145"/>
      <c r="C199" s="104"/>
      <c r="D199" s="12"/>
      <c r="E199" s="130"/>
      <c r="F199" s="12"/>
      <c r="G199" s="146"/>
      <c r="H199" s="12"/>
      <c r="I199" s="12"/>
      <c r="J199" s="12"/>
    </row>
    <row r="200" spans="1:1229" hidden="1" x14ac:dyDescent="0.3">
      <c r="A200" s="148"/>
      <c r="B200" s="148"/>
      <c r="C200" s="109"/>
      <c r="D200" s="131"/>
      <c r="E200" s="132"/>
      <c r="F200" s="131"/>
      <c r="G200" s="149"/>
      <c r="H200" s="12"/>
      <c r="I200" s="12"/>
      <c r="J200" s="12"/>
    </row>
    <row r="201" spans="1:1229" ht="34.5" x14ac:dyDescent="0.3">
      <c r="A201" s="323" t="s">
        <v>176</v>
      </c>
      <c r="B201" s="115"/>
      <c r="C201" s="115"/>
      <c r="D201" s="116"/>
      <c r="E201" s="116"/>
      <c r="F201" s="116"/>
      <c r="G201" s="116"/>
      <c r="H201" s="116"/>
      <c r="I201" s="116"/>
      <c r="J201" s="116"/>
    </row>
    <row r="202" spans="1:1229" s="325" customFormat="1" ht="17.25" x14ac:dyDescent="0.3">
      <c r="A202" s="267" t="s">
        <v>177</v>
      </c>
      <c r="B202" s="324"/>
      <c r="C202" s="324"/>
      <c r="K202" s="442"/>
      <c r="L202" s="442"/>
      <c r="M202" s="442"/>
      <c r="N202" s="442"/>
      <c r="O202" s="442"/>
      <c r="P202" s="442"/>
      <c r="Q202" s="442"/>
      <c r="R202" s="442"/>
      <c r="S202" s="442"/>
      <c r="T202" s="442"/>
      <c r="U202" s="442"/>
      <c r="V202" s="442"/>
      <c r="W202" s="442"/>
      <c r="X202" s="442"/>
      <c r="Y202" s="442"/>
      <c r="Z202" s="442"/>
      <c r="AA202" s="442"/>
      <c r="AB202" s="442"/>
      <c r="AC202" s="442"/>
      <c r="AD202" s="442"/>
      <c r="AE202" s="442"/>
      <c r="AF202" s="442"/>
      <c r="AG202" s="442"/>
      <c r="AH202" s="442"/>
      <c r="AI202" s="442"/>
      <c r="AJ202" s="442"/>
      <c r="AK202" s="442"/>
      <c r="AL202" s="442"/>
      <c r="AM202" s="442"/>
      <c r="AN202" s="442"/>
      <c r="AO202" s="442"/>
      <c r="AP202" s="442"/>
      <c r="AQ202" s="442"/>
      <c r="AR202" s="442"/>
      <c r="AS202" s="442"/>
      <c r="AT202" s="442"/>
      <c r="AU202" s="442"/>
      <c r="AV202" s="442"/>
      <c r="AW202" s="442"/>
      <c r="AX202" s="442"/>
      <c r="AY202" s="442"/>
      <c r="AZ202" s="442"/>
      <c r="BA202" s="442"/>
      <c r="BB202" s="442"/>
      <c r="BC202" s="442"/>
      <c r="BD202" s="442"/>
      <c r="BE202" s="442"/>
      <c r="BF202" s="442"/>
      <c r="BG202" s="442"/>
      <c r="BH202" s="442"/>
      <c r="BI202" s="442"/>
      <c r="BJ202" s="442"/>
      <c r="BK202" s="442"/>
      <c r="BL202" s="442"/>
      <c r="BM202" s="442"/>
      <c r="BN202" s="442"/>
      <c r="BO202" s="442"/>
      <c r="BP202" s="442"/>
      <c r="BQ202" s="442"/>
      <c r="BR202" s="442"/>
      <c r="BS202" s="442"/>
      <c r="BT202" s="442"/>
      <c r="BU202" s="442"/>
      <c r="BV202" s="442"/>
      <c r="BW202" s="442"/>
      <c r="BX202" s="442"/>
      <c r="BY202" s="442"/>
      <c r="BZ202" s="442"/>
      <c r="CA202" s="442"/>
      <c r="CB202" s="442"/>
      <c r="CC202" s="442"/>
      <c r="CD202" s="442"/>
      <c r="CE202" s="442"/>
      <c r="CF202" s="442"/>
      <c r="CG202" s="442"/>
      <c r="CH202" s="442"/>
      <c r="CI202" s="442"/>
      <c r="CJ202" s="442"/>
      <c r="CK202" s="442"/>
      <c r="CL202" s="442"/>
      <c r="CM202" s="442"/>
      <c r="CN202" s="442"/>
      <c r="CO202" s="442"/>
      <c r="CP202" s="442"/>
      <c r="CQ202" s="442"/>
      <c r="CR202" s="442"/>
      <c r="CS202" s="442"/>
      <c r="CT202" s="442"/>
      <c r="CU202" s="442"/>
      <c r="CV202" s="442"/>
      <c r="CW202" s="442"/>
      <c r="CX202" s="442"/>
      <c r="CY202" s="442"/>
      <c r="CZ202" s="442"/>
      <c r="DA202" s="442"/>
      <c r="DB202" s="442"/>
      <c r="DC202" s="442"/>
      <c r="DD202" s="442"/>
      <c r="DE202" s="442"/>
      <c r="DF202" s="442"/>
      <c r="DG202" s="442"/>
      <c r="DH202" s="442"/>
      <c r="DI202" s="442"/>
      <c r="DJ202" s="442"/>
      <c r="DK202" s="442"/>
      <c r="DL202" s="442"/>
      <c r="DM202" s="442"/>
      <c r="DN202" s="442"/>
      <c r="DO202" s="442"/>
      <c r="DP202" s="442"/>
      <c r="DQ202" s="442"/>
      <c r="DR202" s="442"/>
      <c r="DS202" s="442"/>
      <c r="DT202" s="442"/>
      <c r="DU202" s="442"/>
      <c r="DV202" s="442"/>
      <c r="DW202" s="442"/>
      <c r="DX202" s="442"/>
      <c r="DY202" s="442"/>
      <c r="DZ202" s="442"/>
      <c r="EA202" s="442"/>
      <c r="EB202" s="442"/>
      <c r="EC202" s="442"/>
      <c r="ED202" s="442"/>
      <c r="EE202" s="442"/>
      <c r="EF202" s="442"/>
      <c r="EG202" s="442"/>
      <c r="EH202" s="442"/>
      <c r="EI202" s="442"/>
      <c r="EJ202" s="442"/>
      <c r="EK202" s="442"/>
      <c r="EL202" s="442"/>
      <c r="EM202" s="442"/>
      <c r="EN202" s="442"/>
      <c r="EO202" s="442"/>
      <c r="EP202" s="442"/>
      <c r="EQ202" s="442"/>
      <c r="ER202" s="442"/>
      <c r="ES202" s="442"/>
      <c r="ET202" s="442"/>
      <c r="EU202" s="442"/>
      <c r="EV202" s="442"/>
      <c r="EW202" s="442"/>
      <c r="EX202" s="442"/>
      <c r="EY202" s="442"/>
      <c r="EZ202" s="442"/>
      <c r="FA202" s="442"/>
      <c r="FB202" s="442"/>
      <c r="FC202" s="442"/>
      <c r="FD202" s="442"/>
      <c r="FE202" s="442"/>
      <c r="FF202" s="442"/>
      <c r="FG202" s="442"/>
      <c r="FH202" s="442"/>
      <c r="FI202" s="442"/>
      <c r="FJ202" s="442"/>
      <c r="FK202" s="442"/>
      <c r="FL202" s="442"/>
      <c r="FM202" s="442"/>
      <c r="FN202" s="442"/>
      <c r="FO202" s="442"/>
      <c r="FP202" s="442"/>
      <c r="FQ202" s="442"/>
      <c r="FR202" s="442"/>
      <c r="FS202" s="442"/>
      <c r="FT202" s="442"/>
      <c r="FU202" s="442"/>
      <c r="FV202" s="442"/>
      <c r="FW202" s="442"/>
      <c r="FX202" s="442"/>
      <c r="FY202" s="442"/>
      <c r="FZ202" s="442"/>
      <c r="GA202" s="442"/>
      <c r="GB202" s="442"/>
      <c r="GC202" s="442"/>
      <c r="GD202" s="442"/>
      <c r="GE202" s="442"/>
      <c r="GF202" s="442"/>
      <c r="GG202" s="442"/>
      <c r="GH202" s="442"/>
      <c r="GI202" s="442"/>
      <c r="GJ202" s="442"/>
      <c r="GK202" s="442"/>
      <c r="GL202" s="442"/>
      <c r="GM202" s="442"/>
      <c r="GN202" s="442"/>
      <c r="GO202" s="442"/>
      <c r="GP202" s="442"/>
      <c r="GQ202" s="442"/>
      <c r="GR202" s="442"/>
      <c r="GS202" s="442"/>
      <c r="GT202" s="442"/>
      <c r="GU202" s="442"/>
      <c r="GV202" s="442"/>
      <c r="GW202" s="442"/>
      <c r="GX202" s="442"/>
      <c r="GY202" s="442"/>
      <c r="GZ202" s="442"/>
      <c r="HA202" s="442"/>
      <c r="HB202" s="442"/>
      <c r="HC202" s="442"/>
      <c r="HD202" s="442"/>
      <c r="HE202" s="442"/>
      <c r="HF202" s="442"/>
      <c r="HG202" s="442"/>
      <c r="HH202" s="442"/>
      <c r="HI202" s="442"/>
      <c r="HJ202" s="442"/>
      <c r="HK202" s="442"/>
      <c r="HL202" s="442"/>
      <c r="HM202" s="442"/>
      <c r="HN202" s="442"/>
      <c r="HO202" s="442"/>
      <c r="HP202" s="442"/>
      <c r="HQ202" s="442"/>
      <c r="HR202" s="442"/>
      <c r="HS202" s="442"/>
      <c r="HT202" s="442"/>
      <c r="HU202" s="442"/>
      <c r="HV202" s="442"/>
      <c r="HW202" s="442"/>
      <c r="HX202" s="442"/>
      <c r="HY202" s="442"/>
      <c r="HZ202" s="442"/>
      <c r="IA202" s="442"/>
      <c r="IB202" s="442"/>
      <c r="IC202" s="442"/>
      <c r="ID202" s="442"/>
      <c r="IE202" s="442"/>
      <c r="IF202" s="442"/>
      <c r="IG202" s="442"/>
      <c r="IH202" s="442"/>
      <c r="II202" s="442"/>
      <c r="IJ202" s="442"/>
      <c r="IK202" s="442"/>
      <c r="IL202" s="442"/>
      <c r="IM202" s="442"/>
      <c r="IN202" s="442"/>
      <c r="IO202" s="442"/>
      <c r="IP202" s="442"/>
      <c r="IQ202" s="442"/>
      <c r="IR202" s="442"/>
      <c r="IS202" s="442"/>
      <c r="IT202" s="442"/>
      <c r="IU202" s="442"/>
      <c r="IV202" s="442"/>
      <c r="IW202" s="442"/>
      <c r="IX202" s="442"/>
      <c r="IY202" s="442"/>
      <c r="IZ202" s="442"/>
      <c r="JA202" s="442"/>
      <c r="JB202" s="442"/>
      <c r="JC202" s="442"/>
      <c r="JD202" s="442"/>
      <c r="JE202" s="442"/>
      <c r="JF202" s="442"/>
      <c r="JG202" s="442"/>
      <c r="JH202" s="442"/>
      <c r="JI202" s="442"/>
      <c r="JJ202" s="442"/>
      <c r="JK202" s="442"/>
      <c r="JL202" s="442"/>
      <c r="JM202" s="442"/>
      <c r="JN202" s="442"/>
      <c r="JO202" s="442"/>
      <c r="JP202" s="442"/>
      <c r="JQ202" s="442"/>
      <c r="JR202" s="442"/>
      <c r="JS202" s="442"/>
      <c r="JT202" s="442"/>
      <c r="JU202" s="442"/>
      <c r="JV202" s="442"/>
      <c r="JW202" s="442"/>
      <c r="JX202" s="442"/>
      <c r="JY202" s="442"/>
      <c r="JZ202" s="442"/>
      <c r="KA202" s="442"/>
      <c r="KB202" s="442"/>
      <c r="KC202" s="442"/>
      <c r="KD202" s="442"/>
      <c r="KE202" s="442"/>
      <c r="KF202" s="442"/>
      <c r="KG202" s="442"/>
      <c r="KH202" s="442"/>
      <c r="KI202" s="442"/>
      <c r="KJ202" s="442"/>
      <c r="KK202" s="442"/>
      <c r="KL202" s="442"/>
      <c r="KM202" s="442"/>
      <c r="KN202" s="442"/>
      <c r="KO202" s="442"/>
      <c r="KP202" s="442"/>
      <c r="KQ202" s="442"/>
      <c r="KR202" s="442"/>
      <c r="KS202" s="442"/>
      <c r="KT202" s="442"/>
      <c r="KU202" s="442"/>
      <c r="KV202" s="442"/>
      <c r="KW202" s="442"/>
      <c r="KX202" s="442"/>
      <c r="KY202" s="442"/>
      <c r="KZ202" s="442"/>
      <c r="LA202" s="442"/>
      <c r="LB202" s="442"/>
      <c r="LC202" s="442"/>
      <c r="LD202" s="442"/>
      <c r="LE202" s="442"/>
      <c r="LF202" s="442"/>
      <c r="LG202" s="442"/>
      <c r="LH202" s="442"/>
      <c r="LI202" s="442"/>
      <c r="LJ202" s="442"/>
      <c r="LK202" s="442"/>
      <c r="LL202" s="442"/>
      <c r="LM202" s="442"/>
      <c r="LN202" s="442"/>
      <c r="LO202" s="442"/>
      <c r="LP202" s="442"/>
      <c r="LQ202" s="442"/>
      <c r="LR202" s="442"/>
      <c r="LS202" s="442"/>
      <c r="LT202" s="442"/>
      <c r="LU202" s="442"/>
      <c r="LV202" s="442"/>
      <c r="LW202" s="442"/>
      <c r="LX202" s="442"/>
      <c r="LY202" s="442"/>
      <c r="LZ202" s="442"/>
      <c r="MA202" s="442"/>
      <c r="MB202" s="442"/>
      <c r="MC202" s="442"/>
      <c r="MD202" s="442"/>
      <c r="ME202" s="442"/>
      <c r="MF202" s="442"/>
      <c r="MG202" s="442"/>
      <c r="MH202" s="442"/>
      <c r="MI202" s="442"/>
      <c r="MJ202" s="442"/>
      <c r="MK202" s="442"/>
      <c r="ML202" s="442"/>
      <c r="MM202" s="442"/>
      <c r="MN202" s="442"/>
      <c r="MO202" s="442"/>
      <c r="MP202" s="442"/>
      <c r="MQ202" s="442"/>
      <c r="MR202" s="442"/>
      <c r="MS202" s="442"/>
      <c r="MT202" s="442"/>
      <c r="MU202" s="442"/>
      <c r="MV202" s="442"/>
      <c r="MW202" s="442"/>
      <c r="MX202" s="442"/>
      <c r="MY202" s="442"/>
      <c r="MZ202" s="442"/>
      <c r="NA202" s="442"/>
      <c r="NB202" s="442"/>
      <c r="NC202" s="442"/>
      <c r="ND202" s="442"/>
      <c r="NE202" s="442"/>
      <c r="NF202" s="442"/>
      <c r="NG202" s="442"/>
      <c r="NH202" s="442"/>
      <c r="NI202" s="442"/>
      <c r="NJ202" s="442"/>
      <c r="NK202" s="442"/>
      <c r="NL202" s="442"/>
      <c r="NM202" s="442"/>
      <c r="NN202" s="442"/>
      <c r="NO202" s="442"/>
      <c r="NP202" s="442"/>
      <c r="NQ202" s="442"/>
      <c r="NR202" s="442"/>
      <c r="NS202" s="442"/>
      <c r="NT202" s="442"/>
      <c r="NU202" s="442"/>
      <c r="NV202" s="442"/>
      <c r="NW202" s="442"/>
      <c r="NX202" s="442"/>
      <c r="NY202" s="442"/>
      <c r="NZ202" s="442"/>
      <c r="OA202" s="442"/>
      <c r="OB202" s="442"/>
      <c r="OC202" s="442"/>
      <c r="OD202" s="442"/>
      <c r="OE202" s="442"/>
      <c r="OF202" s="442"/>
      <c r="OG202" s="442"/>
      <c r="OH202" s="442"/>
      <c r="OI202" s="442"/>
      <c r="OJ202" s="442"/>
      <c r="OK202" s="442"/>
      <c r="OL202" s="442"/>
      <c r="OM202" s="442"/>
      <c r="ON202" s="442"/>
      <c r="OO202" s="442"/>
      <c r="OP202" s="442"/>
      <c r="OQ202" s="442"/>
      <c r="OR202" s="442"/>
      <c r="OS202" s="442"/>
      <c r="OT202" s="442"/>
      <c r="OU202" s="442"/>
      <c r="OV202" s="442"/>
      <c r="OW202" s="442"/>
      <c r="OX202" s="442"/>
      <c r="OY202" s="442"/>
      <c r="OZ202" s="442"/>
      <c r="PA202" s="442"/>
      <c r="PB202" s="442"/>
      <c r="PC202" s="442"/>
      <c r="PD202" s="442"/>
      <c r="PE202" s="442"/>
      <c r="PF202" s="442"/>
      <c r="PG202" s="442"/>
      <c r="PH202" s="442"/>
      <c r="PI202" s="442"/>
      <c r="PJ202" s="442"/>
      <c r="PK202" s="442"/>
      <c r="PL202" s="442"/>
      <c r="PM202" s="442"/>
      <c r="PN202" s="442"/>
      <c r="PO202" s="442"/>
      <c r="PP202" s="442"/>
      <c r="PQ202" s="442"/>
      <c r="PR202" s="442"/>
      <c r="PS202" s="442"/>
      <c r="PT202" s="442"/>
      <c r="PU202" s="442"/>
      <c r="PV202" s="442"/>
      <c r="PW202" s="442"/>
      <c r="PX202" s="442"/>
      <c r="PY202" s="442"/>
      <c r="PZ202" s="442"/>
      <c r="QA202" s="442"/>
      <c r="QB202" s="442"/>
      <c r="QC202" s="442"/>
      <c r="QD202" s="442"/>
      <c r="QE202" s="442"/>
      <c r="QF202" s="442"/>
      <c r="QG202" s="442"/>
      <c r="QH202" s="442"/>
      <c r="QI202" s="442"/>
      <c r="QJ202" s="442"/>
      <c r="QK202" s="442"/>
      <c r="QL202" s="442"/>
      <c r="QM202" s="442"/>
      <c r="QN202" s="442"/>
      <c r="QO202" s="442"/>
      <c r="QP202" s="442"/>
      <c r="QQ202" s="442"/>
      <c r="QR202" s="442"/>
      <c r="QS202" s="442"/>
      <c r="QT202" s="442"/>
      <c r="QU202" s="442"/>
      <c r="QV202" s="442"/>
      <c r="QW202" s="442"/>
      <c r="QX202" s="442"/>
      <c r="QY202" s="442"/>
      <c r="QZ202" s="442"/>
      <c r="RA202" s="442"/>
      <c r="RB202" s="442"/>
      <c r="RC202" s="442"/>
      <c r="RD202" s="442"/>
      <c r="RE202" s="442"/>
      <c r="RF202" s="442"/>
      <c r="RG202" s="442"/>
      <c r="RH202" s="442"/>
      <c r="RI202" s="442"/>
      <c r="RJ202" s="442"/>
      <c r="RK202" s="442"/>
      <c r="RL202" s="442"/>
      <c r="RM202" s="442"/>
      <c r="RN202" s="442"/>
      <c r="RO202" s="442"/>
      <c r="RP202" s="442"/>
      <c r="RQ202" s="442"/>
      <c r="RR202" s="442"/>
      <c r="RS202" s="442"/>
      <c r="RT202" s="442"/>
      <c r="RU202" s="442"/>
      <c r="RV202" s="442"/>
      <c r="RW202" s="442"/>
      <c r="RX202" s="442"/>
      <c r="RY202" s="442"/>
      <c r="RZ202" s="442"/>
      <c r="SA202" s="442"/>
      <c r="SB202" s="442"/>
      <c r="SC202" s="442"/>
      <c r="SD202" s="442"/>
      <c r="SE202" s="442"/>
      <c r="SF202" s="442"/>
      <c r="SG202" s="442"/>
      <c r="SH202" s="442"/>
      <c r="SI202" s="442"/>
      <c r="SJ202" s="442"/>
      <c r="SK202" s="442"/>
      <c r="SL202" s="442"/>
      <c r="SM202" s="442"/>
      <c r="SN202" s="442"/>
      <c r="SO202" s="442"/>
      <c r="SP202" s="442"/>
      <c r="SQ202" s="442"/>
      <c r="SR202" s="442"/>
      <c r="SS202" s="442"/>
      <c r="ST202" s="442"/>
      <c r="SU202" s="442"/>
      <c r="SV202" s="442"/>
      <c r="SW202" s="442"/>
      <c r="SX202" s="442"/>
      <c r="SY202" s="442"/>
      <c r="SZ202" s="442"/>
      <c r="TA202" s="442"/>
      <c r="TB202" s="442"/>
      <c r="TC202" s="442"/>
      <c r="TD202" s="442"/>
      <c r="TE202" s="442"/>
      <c r="TF202" s="442"/>
      <c r="TG202" s="442"/>
      <c r="TH202" s="442"/>
      <c r="TI202" s="442"/>
      <c r="TJ202" s="442"/>
      <c r="TK202" s="442"/>
      <c r="TL202" s="442"/>
      <c r="TM202" s="442"/>
      <c r="TN202" s="442"/>
      <c r="TO202" s="442"/>
      <c r="TP202" s="442"/>
      <c r="TQ202" s="442"/>
      <c r="TR202" s="442"/>
      <c r="TS202" s="442"/>
      <c r="TT202" s="442"/>
      <c r="TU202" s="442"/>
      <c r="TV202" s="442"/>
      <c r="TW202" s="442"/>
      <c r="TX202" s="442"/>
      <c r="TY202" s="442"/>
      <c r="TZ202" s="442"/>
      <c r="UA202" s="442"/>
      <c r="UB202" s="442"/>
      <c r="UC202" s="442"/>
      <c r="UD202" s="442"/>
      <c r="UE202" s="442"/>
      <c r="UF202" s="442"/>
      <c r="UG202" s="442"/>
      <c r="UH202" s="442"/>
      <c r="UI202" s="442"/>
      <c r="UJ202" s="442"/>
      <c r="UK202" s="442"/>
      <c r="UL202" s="442"/>
      <c r="UM202" s="442"/>
      <c r="UN202" s="442"/>
      <c r="UO202" s="442"/>
      <c r="UP202" s="442"/>
      <c r="UQ202" s="442"/>
      <c r="UR202" s="442"/>
      <c r="US202" s="442"/>
      <c r="UT202" s="442"/>
      <c r="UU202" s="442"/>
      <c r="UV202" s="442"/>
      <c r="UW202" s="442"/>
      <c r="UX202" s="442"/>
      <c r="UY202" s="442"/>
      <c r="UZ202" s="442"/>
      <c r="VA202" s="442"/>
      <c r="VB202" s="442"/>
      <c r="VC202" s="442"/>
      <c r="VD202" s="442"/>
      <c r="VE202" s="442"/>
      <c r="VF202" s="442"/>
      <c r="VG202" s="442"/>
      <c r="VH202" s="442"/>
      <c r="VI202" s="442"/>
      <c r="VJ202" s="442"/>
      <c r="VK202" s="442"/>
      <c r="VL202" s="442"/>
      <c r="VM202" s="442"/>
      <c r="VN202" s="442"/>
      <c r="VO202" s="442"/>
      <c r="VP202" s="442"/>
      <c r="VQ202" s="442"/>
      <c r="VR202" s="442"/>
      <c r="VS202" s="442"/>
      <c r="VT202" s="442"/>
      <c r="VU202" s="442"/>
      <c r="VV202" s="442"/>
      <c r="VW202" s="442"/>
      <c r="VX202" s="442"/>
      <c r="VY202" s="442"/>
      <c r="VZ202" s="442"/>
      <c r="WA202" s="442"/>
      <c r="WB202" s="442"/>
      <c r="WC202" s="442"/>
      <c r="WD202" s="442"/>
      <c r="WE202" s="442"/>
      <c r="WF202" s="442"/>
      <c r="WG202" s="442"/>
      <c r="WH202" s="442"/>
      <c r="WI202" s="442"/>
      <c r="WJ202" s="442"/>
      <c r="WK202" s="442"/>
      <c r="WL202" s="442"/>
      <c r="WM202" s="442"/>
      <c r="WN202" s="442"/>
      <c r="WO202" s="442"/>
      <c r="WP202" s="442"/>
      <c r="WQ202" s="442"/>
      <c r="WR202" s="442"/>
      <c r="WS202" s="442"/>
      <c r="WT202" s="442"/>
      <c r="WU202" s="442"/>
      <c r="WV202" s="442"/>
      <c r="WW202" s="442"/>
      <c r="WX202" s="442"/>
      <c r="WY202" s="442"/>
      <c r="WZ202" s="442"/>
      <c r="XA202" s="442"/>
      <c r="XB202" s="442"/>
      <c r="XC202" s="442"/>
      <c r="XD202" s="442"/>
      <c r="XE202" s="442"/>
      <c r="XF202" s="442"/>
      <c r="XG202" s="442"/>
      <c r="XH202" s="442"/>
      <c r="XI202" s="442"/>
      <c r="XJ202" s="442"/>
      <c r="XK202" s="442"/>
      <c r="XL202" s="442"/>
      <c r="XM202" s="442"/>
      <c r="XN202" s="442"/>
      <c r="XO202" s="442"/>
      <c r="XP202" s="442"/>
      <c r="XQ202" s="442"/>
      <c r="XR202" s="442"/>
      <c r="XS202" s="442"/>
      <c r="XT202" s="442"/>
      <c r="XU202" s="442"/>
      <c r="XV202" s="442"/>
      <c r="XW202" s="442"/>
      <c r="XX202" s="442"/>
      <c r="XY202" s="442"/>
      <c r="XZ202" s="442"/>
      <c r="YA202" s="442"/>
      <c r="YB202" s="442"/>
      <c r="YC202" s="442"/>
      <c r="YD202" s="442"/>
      <c r="YE202" s="442"/>
      <c r="YF202" s="442"/>
      <c r="YG202" s="442"/>
      <c r="YH202" s="442"/>
      <c r="YI202" s="442"/>
      <c r="YJ202" s="442"/>
      <c r="YK202" s="442"/>
      <c r="YL202" s="442"/>
      <c r="YM202" s="442"/>
      <c r="YN202" s="442"/>
      <c r="YO202" s="442"/>
      <c r="YP202" s="442"/>
      <c r="YQ202" s="442"/>
      <c r="YR202" s="442"/>
      <c r="YS202" s="442"/>
      <c r="YT202" s="442"/>
      <c r="YU202" s="442"/>
      <c r="YV202" s="442"/>
      <c r="YW202" s="442"/>
      <c r="YX202" s="442"/>
      <c r="YY202" s="442"/>
      <c r="YZ202" s="442"/>
      <c r="ZA202" s="442"/>
      <c r="ZB202" s="442"/>
      <c r="ZC202" s="442"/>
      <c r="ZD202" s="442"/>
      <c r="ZE202" s="442"/>
      <c r="ZF202" s="442"/>
      <c r="ZG202" s="442"/>
      <c r="ZH202" s="442"/>
      <c r="ZI202" s="442"/>
      <c r="ZJ202" s="442"/>
      <c r="ZK202" s="442"/>
      <c r="ZL202" s="442"/>
      <c r="ZM202" s="442"/>
      <c r="ZN202" s="442"/>
      <c r="ZO202" s="442"/>
      <c r="ZP202" s="442"/>
      <c r="ZQ202" s="442"/>
      <c r="ZR202" s="442"/>
      <c r="ZS202" s="442"/>
      <c r="ZT202" s="442"/>
      <c r="ZU202" s="442"/>
      <c r="ZV202" s="442"/>
      <c r="ZW202" s="442"/>
      <c r="ZX202" s="442"/>
      <c r="ZY202" s="442"/>
      <c r="ZZ202" s="442"/>
      <c r="AAA202" s="442"/>
      <c r="AAB202" s="442"/>
      <c r="AAC202" s="442"/>
      <c r="AAD202" s="442"/>
      <c r="AAE202" s="442"/>
      <c r="AAF202" s="442"/>
      <c r="AAG202" s="442"/>
      <c r="AAH202" s="442"/>
      <c r="AAI202" s="442"/>
      <c r="AAJ202" s="442"/>
      <c r="AAK202" s="442"/>
      <c r="AAL202" s="442"/>
      <c r="AAM202" s="442"/>
      <c r="AAN202" s="442"/>
      <c r="AAO202" s="442"/>
      <c r="AAP202" s="442"/>
      <c r="AAQ202" s="442"/>
      <c r="AAR202" s="442"/>
      <c r="AAS202" s="442"/>
      <c r="AAT202" s="442"/>
      <c r="AAU202" s="442"/>
      <c r="AAV202" s="442"/>
      <c r="AAW202" s="442"/>
      <c r="AAX202" s="442"/>
      <c r="AAY202" s="442"/>
      <c r="AAZ202" s="442"/>
      <c r="ABA202" s="442"/>
      <c r="ABB202" s="442"/>
      <c r="ABC202" s="442"/>
      <c r="ABD202" s="442"/>
      <c r="ABE202" s="442"/>
      <c r="ABF202" s="442"/>
      <c r="ABG202" s="442"/>
      <c r="ABH202" s="442"/>
      <c r="ABI202" s="442"/>
      <c r="ABJ202" s="442"/>
      <c r="ABK202" s="442"/>
      <c r="ABL202" s="442"/>
      <c r="ABM202" s="442"/>
      <c r="ABN202" s="442"/>
      <c r="ABO202" s="442"/>
      <c r="ABP202" s="442"/>
      <c r="ABQ202" s="442"/>
      <c r="ABR202" s="442"/>
      <c r="ABS202" s="442"/>
      <c r="ABT202" s="442"/>
      <c r="ABU202" s="442"/>
      <c r="ABV202" s="442"/>
      <c r="ABW202" s="442"/>
      <c r="ABX202" s="442"/>
      <c r="ABY202" s="442"/>
      <c r="ABZ202" s="442"/>
      <c r="ACA202" s="442"/>
      <c r="ACB202" s="442"/>
      <c r="ACC202" s="442"/>
      <c r="ACD202" s="442"/>
      <c r="ACE202" s="442"/>
      <c r="ACF202" s="442"/>
      <c r="ACG202" s="442"/>
      <c r="ACH202" s="442"/>
      <c r="ACI202" s="442"/>
      <c r="ACJ202" s="442"/>
      <c r="ACK202" s="442"/>
      <c r="ACL202" s="442"/>
      <c r="ACM202" s="442"/>
      <c r="ACN202" s="442"/>
      <c r="ACO202" s="442"/>
      <c r="ACP202" s="442"/>
      <c r="ACQ202" s="442"/>
      <c r="ACR202" s="442"/>
      <c r="ACS202" s="442"/>
      <c r="ACT202" s="442"/>
      <c r="ACU202" s="442"/>
      <c r="ACV202" s="442"/>
      <c r="ACW202" s="442"/>
      <c r="ACX202" s="442"/>
      <c r="ACY202" s="442"/>
      <c r="ACZ202" s="442"/>
      <c r="ADA202" s="442"/>
      <c r="ADB202" s="442"/>
      <c r="ADC202" s="442"/>
      <c r="ADD202" s="442"/>
      <c r="ADE202" s="442"/>
      <c r="ADF202" s="442"/>
      <c r="ADG202" s="442"/>
      <c r="ADH202" s="442"/>
      <c r="ADI202" s="442"/>
      <c r="ADJ202" s="442"/>
      <c r="ADK202" s="442"/>
      <c r="ADL202" s="442"/>
      <c r="ADM202" s="442"/>
      <c r="ADN202" s="442"/>
      <c r="ADO202" s="442"/>
      <c r="ADP202" s="442"/>
      <c r="ADQ202" s="442"/>
      <c r="ADR202" s="442"/>
      <c r="ADS202" s="442"/>
      <c r="ADT202" s="442"/>
      <c r="ADU202" s="442"/>
      <c r="ADV202" s="442"/>
      <c r="ADW202" s="442"/>
      <c r="ADX202" s="442"/>
      <c r="ADY202" s="442"/>
      <c r="ADZ202" s="442"/>
      <c r="AEA202" s="442"/>
      <c r="AEB202" s="442"/>
      <c r="AEC202" s="442"/>
      <c r="AED202" s="442"/>
      <c r="AEE202" s="442"/>
      <c r="AEF202" s="442"/>
      <c r="AEG202" s="442"/>
      <c r="AEH202" s="442"/>
      <c r="AEI202" s="442"/>
      <c r="AEJ202" s="442"/>
      <c r="AEK202" s="442"/>
      <c r="AEL202" s="442"/>
      <c r="AEM202" s="442"/>
      <c r="AEN202" s="442"/>
      <c r="AEO202" s="442"/>
      <c r="AEP202" s="442"/>
      <c r="AEQ202" s="442"/>
      <c r="AER202" s="442"/>
      <c r="AES202" s="442"/>
      <c r="AET202" s="442"/>
      <c r="AEU202" s="442"/>
      <c r="AEV202" s="442"/>
      <c r="AEW202" s="442"/>
      <c r="AEX202" s="442"/>
      <c r="AEY202" s="442"/>
      <c r="AEZ202" s="442"/>
      <c r="AFA202" s="442"/>
      <c r="AFB202" s="442"/>
      <c r="AFC202" s="442"/>
      <c r="AFD202" s="442"/>
      <c r="AFE202" s="442"/>
      <c r="AFF202" s="442"/>
      <c r="AFG202" s="442"/>
      <c r="AFH202" s="442"/>
      <c r="AFI202" s="442"/>
      <c r="AFJ202" s="442"/>
      <c r="AFK202" s="442"/>
      <c r="AFL202" s="442"/>
      <c r="AFM202" s="442"/>
      <c r="AFN202" s="442"/>
      <c r="AFO202" s="442"/>
      <c r="AFP202" s="442"/>
      <c r="AFQ202" s="442"/>
      <c r="AFR202" s="442"/>
      <c r="AFS202" s="442"/>
      <c r="AFT202" s="442"/>
      <c r="AFU202" s="442"/>
      <c r="AFV202" s="442"/>
      <c r="AFW202" s="442"/>
      <c r="AFX202" s="442"/>
      <c r="AFY202" s="442"/>
      <c r="AFZ202" s="442"/>
      <c r="AGA202" s="442"/>
      <c r="AGB202" s="442"/>
      <c r="AGC202" s="442"/>
      <c r="AGD202" s="442"/>
      <c r="AGE202" s="442"/>
      <c r="AGF202" s="442"/>
      <c r="AGG202" s="442"/>
      <c r="AGH202" s="442"/>
      <c r="AGI202" s="442"/>
      <c r="AGJ202" s="442"/>
      <c r="AGK202" s="442"/>
      <c r="AGL202" s="442"/>
      <c r="AGM202" s="442"/>
      <c r="AGN202" s="442"/>
      <c r="AGO202" s="442"/>
      <c r="AGP202" s="442"/>
      <c r="AGQ202" s="442"/>
      <c r="AGR202" s="442"/>
      <c r="AGS202" s="442"/>
      <c r="AGT202" s="442"/>
      <c r="AGU202" s="442"/>
      <c r="AGV202" s="442"/>
      <c r="AGW202" s="442"/>
      <c r="AGX202" s="442"/>
      <c r="AGY202" s="442"/>
      <c r="AGZ202" s="442"/>
      <c r="AHA202" s="442"/>
      <c r="AHB202" s="442"/>
      <c r="AHC202" s="442"/>
      <c r="AHD202" s="442"/>
      <c r="AHE202" s="442"/>
      <c r="AHF202" s="442"/>
      <c r="AHG202" s="442"/>
      <c r="AHH202" s="442"/>
      <c r="AHI202" s="442"/>
      <c r="AHJ202" s="442"/>
      <c r="AHK202" s="442"/>
      <c r="AHL202" s="442"/>
      <c r="AHM202" s="442"/>
      <c r="AHN202" s="442"/>
      <c r="AHO202" s="442"/>
      <c r="AHP202" s="442"/>
      <c r="AHQ202" s="442"/>
      <c r="AHR202" s="442"/>
      <c r="AHS202" s="442"/>
      <c r="AHT202" s="442"/>
      <c r="AHU202" s="442"/>
      <c r="AHV202" s="442"/>
      <c r="AHW202" s="442"/>
      <c r="AHX202" s="442"/>
      <c r="AHY202" s="442"/>
      <c r="AHZ202" s="442"/>
      <c r="AIA202" s="442"/>
      <c r="AIB202" s="442"/>
      <c r="AIC202" s="442"/>
      <c r="AID202" s="442"/>
      <c r="AIE202" s="442"/>
      <c r="AIF202" s="442"/>
      <c r="AIG202" s="442"/>
      <c r="AIH202" s="442"/>
      <c r="AII202" s="442"/>
      <c r="AIJ202" s="442"/>
      <c r="AIK202" s="442"/>
      <c r="AIL202" s="442"/>
      <c r="AIM202" s="442"/>
      <c r="AIN202" s="442"/>
      <c r="AIO202" s="442"/>
      <c r="AIP202" s="442"/>
      <c r="AIQ202" s="442"/>
      <c r="AIR202" s="442"/>
      <c r="AIS202" s="442"/>
      <c r="AIT202" s="442"/>
      <c r="AIU202" s="442"/>
      <c r="AIV202" s="442"/>
      <c r="AIW202" s="442"/>
      <c r="AIX202" s="442"/>
      <c r="AIY202" s="442"/>
      <c r="AIZ202" s="442"/>
      <c r="AJA202" s="442"/>
      <c r="AJB202" s="442"/>
      <c r="AJC202" s="442"/>
      <c r="AJD202" s="442"/>
      <c r="AJE202" s="442"/>
      <c r="AJF202" s="442"/>
      <c r="AJG202" s="442"/>
      <c r="AJH202" s="442"/>
      <c r="AJI202" s="442"/>
      <c r="AJJ202" s="442"/>
      <c r="AJK202" s="442"/>
      <c r="AJL202" s="442"/>
      <c r="AJM202" s="442"/>
      <c r="AJN202" s="442"/>
      <c r="AJO202" s="442"/>
      <c r="AJP202" s="442"/>
      <c r="AJQ202" s="442"/>
      <c r="AJR202" s="442"/>
      <c r="AJS202" s="442"/>
      <c r="AJT202" s="442"/>
      <c r="AJU202" s="442"/>
      <c r="AJV202" s="442"/>
      <c r="AJW202" s="442"/>
      <c r="AJX202" s="442"/>
      <c r="AJY202" s="442"/>
      <c r="AJZ202" s="442"/>
      <c r="AKA202" s="442"/>
      <c r="AKB202" s="442"/>
      <c r="AKC202" s="442"/>
      <c r="AKD202" s="442"/>
      <c r="AKE202" s="442"/>
      <c r="AKF202" s="442"/>
      <c r="AKG202" s="442"/>
      <c r="AKH202" s="442"/>
      <c r="AKI202" s="442"/>
      <c r="AKJ202" s="442"/>
      <c r="AKK202" s="442"/>
      <c r="AKL202" s="442"/>
      <c r="AKM202" s="442"/>
      <c r="AKN202" s="442"/>
      <c r="AKO202" s="442"/>
      <c r="AKP202" s="442"/>
      <c r="AKQ202" s="442"/>
      <c r="AKR202" s="442"/>
      <c r="AKS202" s="442"/>
      <c r="AKT202" s="442"/>
      <c r="AKU202" s="442"/>
      <c r="AKV202" s="442"/>
      <c r="AKW202" s="442"/>
      <c r="AKX202" s="442"/>
      <c r="AKY202" s="442"/>
      <c r="AKZ202" s="442"/>
      <c r="ALA202" s="442"/>
      <c r="ALB202" s="442"/>
      <c r="ALC202" s="442"/>
      <c r="ALD202" s="442"/>
      <c r="ALE202" s="442"/>
      <c r="ALF202" s="442"/>
      <c r="ALG202" s="442"/>
      <c r="ALH202" s="442"/>
      <c r="ALI202" s="442"/>
      <c r="ALJ202" s="442"/>
      <c r="ALK202" s="442"/>
      <c r="ALL202" s="442"/>
      <c r="ALM202" s="442"/>
      <c r="ALN202" s="442"/>
      <c r="ALO202" s="442"/>
      <c r="ALP202" s="442"/>
      <c r="ALQ202" s="442"/>
      <c r="ALR202" s="442"/>
      <c r="ALS202" s="442"/>
      <c r="ALT202" s="442"/>
      <c r="ALU202" s="442"/>
      <c r="ALV202" s="442"/>
      <c r="ALW202" s="442"/>
      <c r="ALX202" s="442"/>
      <c r="ALY202" s="442"/>
      <c r="ALZ202" s="442"/>
      <c r="AMA202" s="442"/>
      <c r="AMB202" s="442"/>
      <c r="AMC202" s="442"/>
      <c r="AMD202" s="442"/>
      <c r="AME202" s="442"/>
      <c r="AMF202" s="442"/>
      <c r="AMG202" s="442"/>
      <c r="AMH202" s="442"/>
      <c r="AMI202" s="442"/>
      <c r="AMJ202" s="442"/>
      <c r="AMK202" s="442"/>
      <c r="AML202" s="442"/>
      <c r="AMM202" s="442"/>
      <c r="AMN202" s="442"/>
      <c r="AMO202" s="442"/>
      <c r="AMP202" s="442"/>
      <c r="AMQ202" s="442"/>
      <c r="AMR202" s="442"/>
      <c r="AMS202" s="442"/>
      <c r="AMT202" s="442"/>
      <c r="AMU202" s="442"/>
      <c r="AMV202" s="442"/>
      <c r="AMW202" s="442"/>
      <c r="AMX202" s="442"/>
      <c r="AMY202" s="442"/>
      <c r="AMZ202" s="442"/>
      <c r="ANA202" s="442"/>
      <c r="ANB202" s="442"/>
      <c r="ANC202" s="442"/>
      <c r="AND202" s="442"/>
      <c r="ANE202" s="442"/>
      <c r="ANF202" s="442"/>
      <c r="ANG202" s="442"/>
      <c r="ANH202" s="442"/>
      <c r="ANI202" s="442"/>
      <c r="ANJ202" s="442"/>
      <c r="ANK202" s="442"/>
      <c r="ANL202" s="442"/>
      <c r="ANM202" s="442"/>
      <c r="ANN202" s="442"/>
      <c r="ANO202" s="442"/>
      <c r="ANP202" s="442"/>
      <c r="ANQ202" s="442"/>
      <c r="ANR202" s="442"/>
      <c r="ANS202" s="442"/>
      <c r="ANT202" s="442"/>
      <c r="ANU202" s="442"/>
      <c r="ANV202" s="442"/>
      <c r="ANW202" s="442"/>
      <c r="ANX202" s="442"/>
      <c r="ANY202" s="442"/>
      <c r="ANZ202" s="442"/>
      <c r="AOA202" s="442"/>
      <c r="AOB202" s="442"/>
      <c r="AOC202" s="442"/>
      <c r="AOD202" s="442"/>
      <c r="AOE202" s="442"/>
      <c r="AOF202" s="442"/>
      <c r="AOG202" s="442"/>
      <c r="AOH202" s="442"/>
      <c r="AOI202" s="442"/>
      <c r="AOJ202" s="442"/>
      <c r="AOK202" s="442"/>
      <c r="AOL202" s="442"/>
      <c r="AOM202" s="442"/>
      <c r="AON202" s="442"/>
      <c r="AOO202" s="442"/>
      <c r="AOP202" s="442"/>
      <c r="AOQ202" s="442"/>
      <c r="AOR202" s="442"/>
      <c r="AOS202" s="442"/>
      <c r="AOT202" s="442"/>
      <c r="AOU202" s="442"/>
      <c r="AOV202" s="442"/>
      <c r="AOW202" s="442"/>
      <c r="AOX202" s="442"/>
      <c r="AOY202" s="442"/>
      <c r="AOZ202" s="442"/>
      <c r="APA202" s="442"/>
      <c r="APB202" s="442"/>
      <c r="APC202" s="442"/>
      <c r="APD202" s="442"/>
      <c r="APE202" s="442"/>
      <c r="APF202" s="442"/>
      <c r="APG202" s="442"/>
      <c r="APH202" s="442"/>
      <c r="API202" s="442"/>
      <c r="APJ202" s="442"/>
      <c r="APK202" s="442"/>
      <c r="APL202" s="442"/>
      <c r="APM202" s="442"/>
      <c r="APN202" s="442"/>
      <c r="APO202" s="442"/>
      <c r="APP202" s="442"/>
      <c r="APQ202" s="442"/>
      <c r="APR202" s="442"/>
      <c r="APS202" s="442"/>
      <c r="APT202" s="442"/>
      <c r="APU202" s="442"/>
      <c r="APV202" s="442"/>
      <c r="APW202" s="442"/>
      <c r="APX202" s="442"/>
      <c r="APY202" s="442"/>
      <c r="APZ202" s="442"/>
      <c r="AQA202" s="442"/>
      <c r="AQB202" s="442"/>
      <c r="AQC202" s="442"/>
      <c r="AQD202" s="442"/>
      <c r="AQE202" s="442"/>
      <c r="AQF202" s="442"/>
      <c r="AQG202" s="442"/>
      <c r="AQH202" s="442"/>
      <c r="AQI202" s="442"/>
      <c r="AQJ202" s="442"/>
      <c r="AQK202" s="442"/>
      <c r="AQL202" s="442"/>
      <c r="AQM202" s="442"/>
      <c r="AQN202" s="442"/>
      <c r="AQO202" s="442"/>
      <c r="AQP202" s="442"/>
      <c r="AQQ202" s="442"/>
      <c r="AQR202" s="442"/>
      <c r="AQS202" s="442"/>
      <c r="AQT202" s="442"/>
      <c r="AQU202" s="442"/>
      <c r="AQV202" s="442"/>
      <c r="AQW202" s="442"/>
      <c r="AQX202" s="442"/>
      <c r="AQY202" s="442"/>
      <c r="AQZ202" s="442"/>
      <c r="ARA202" s="442"/>
      <c r="ARB202" s="442"/>
      <c r="ARC202" s="442"/>
      <c r="ARD202" s="442"/>
      <c r="ARE202" s="442"/>
      <c r="ARF202" s="442"/>
      <c r="ARG202" s="442"/>
      <c r="ARH202" s="442"/>
      <c r="ARI202" s="442"/>
      <c r="ARJ202" s="442"/>
      <c r="ARK202" s="442"/>
      <c r="ARL202" s="442"/>
      <c r="ARM202" s="442"/>
      <c r="ARN202" s="442"/>
      <c r="ARO202" s="442"/>
      <c r="ARP202" s="442"/>
      <c r="ARQ202" s="442"/>
      <c r="ARR202" s="442"/>
      <c r="ARS202" s="442"/>
      <c r="ART202" s="442"/>
      <c r="ARU202" s="442"/>
      <c r="ARV202" s="442"/>
      <c r="ARW202" s="442"/>
      <c r="ARX202" s="442"/>
      <c r="ARY202" s="442"/>
      <c r="ARZ202" s="442"/>
      <c r="ASA202" s="442"/>
      <c r="ASB202" s="442"/>
      <c r="ASC202" s="442"/>
      <c r="ASD202" s="442"/>
      <c r="ASE202" s="442"/>
      <c r="ASF202" s="442"/>
      <c r="ASG202" s="442"/>
      <c r="ASH202" s="442"/>
      <c r="ASI202" s="442"/>
      <c r="ASJ202" s="442"/>
      <c r="ASK202" s="442"/>
      <c r="ASL202" s="442"/>
      <c r="ASM202" s="442"/>
      <c r="ASN202" s="442"/>
      <c r="ASO202" s="442"/>
      <c r="ASP202" s="442"/>
      <c r="ASQ202" s="442"/>
      <c r="ASR202" s="442"/>
      <c r="ASS202" s="442"/>
      <c r="AST202" s="442"/>
      <c r="ASU202" s="442"/>
      <c r="ASV202" s="442"/>
      <c r="ASW202" s="442"/>
      <c r="ASX202" s="442"/>
      <c r="ASY202" s="442"/>
      <c r="ASZ202" s="442"/>
      <c r="ATA202" s="442"/>
      <c r="ATB202" s="442"/>
      <c r="ATC202" s="442"/>
      <c r="ATD202" s="442"/>
      <c r="ATE202" s="442"/>
      <c r="ATF202" s="442"/>
      <c r="ATG202" s="442"/>
      <c r="ATH202" s="442"/>
      <c r="ATI202" s="442"/>
      <c r="ATJ202" s="442"/>
      <c r="ATK202" s="442"/>
      <c r="ATL202" s="442"/>
      <c r="ATM202" s="442"/>
      <c r="ATN202" s="442"/>
      <c r="ATO202" s="442"/>
      <c r="ATP202" s="442"/>
      <c r="ATQ202" s="442"/>
      <c r="ATR202" s="442"/>
      <c r="ATS202" s="442"/>
      <c r="ATT202" s="442"/>
      <c r="ATU202" s="442"/>
      <c r="ATV202" s="442"/>
      <c r="ATW202" s="442"/>
      <c r="ATX202" s="442"/>
      <c r="ATY202" s="442"/>
      <c r="ATZ202" s="442"/>
      <c r="AUA202" s="442"/>
      <c r="AUB202" s="442"/>
      <c r="AUC202" s="442"/>
      <c r="AUD202" s="442"/>
      <c r="AUE202" s="442"/>
      <c r="AUF202" s="442"/>
      <c r="AUG202" s="442"/>
    </row>
    <row r="203" spans="1:1229" s="325" customFormat="1" ht="22.5" x14ac:dyDescent="0.3">
      <c r="A203" s="357" t="s">
        <v>178</v>
      </c>
      <c r="B203" s="353"/>
      <c r="C203" s="353"/>
      <c r="D203" s="354"/>
      <c r="E203" s="354"/>
      <c r="K203" s="442"/>
      <c r="L203" s="442"/>
      <c r="M203" s="442"/>
      <c r="N203" s="442"/>
      <c r="O203" s="442"/>
      <c r="P203" s="442"/>
      <c r="Q203" s="442"/>
      <c r="R203" s="442"/>
      <c r="S203" s="442"/>
      <c r="T203" s="442"/>
      <c r="U203" s="442"/>
      <c r="V203" s="442"/>
      <c r="W203" s="442"/>
      <c r="X203" s="442"/>
      <c r="Y203" s="442"/>
      <c r="Z203" s="442"/>
      <c r="AA203" s="442"/>
      <c r="AB203" s="442"/>
      <c r="AC203" s="442"/>
      <c r="AD203" s="442"/>
      <c r="AE203" s="442"/>
      <c r="AF203" s="442"/>
      <c r="AG203" s="442"/>
      <c r="AH203" s="442"/>
      <c r="AI203" s="442"/>
      <c r="AJ203" s="442"/>
      <c r="AK203" s="442"/>
      <c r="AL203" s="442"/>
      <c r="AM203" s="442"/>
      <c r="AN203" s="442"/>
      <c r="AO203" s="442"/>
      <c r="AP203" s="442"/>
      <c r="AQ203" s="442"/>
      <c r="AR203" s="442"/>
      <c r="AS203" s="442"/>
      <c r="AT203" s="442"/>
      <c r="AU203" s="442"/>
      <c r="AV203" s="442"/>
      <c r="AW203" s="442"/>
      <c r="AX203" s="442"/>
      <c r="AY203" s="442"/>
      <c r="AZ203" s="442"/>
      <c r="BA203" s="442"/>
      <c r="BB203" s="442"/>
      <c r="BC203" s="442"/>
      <c r="BD203" s="442"/>
      <c r="BE203" s="442"/>
      <c r="BF203" s="442"/>
      <c r="BG203" s="442"/>
      <c r="BH203" s="442"/>
      <c r="BI203" s="442"/>
      <c r="BJ203" s="442"/>
      <c r="BK203" s="442"/>
      <c r="BL203" s="442"/>
      <c r="BM203" s="442"/>
      <c r="BN203" s="442"/>
      <c r="BO203" s="442"/>
      <c r="BP203" s="442"/>
      <c r="BQ203" s="442"/>
      <c r="BR203" s="442"/>
      <c r="BS203" s="442"/>
      <c r="BT203" s="442"/>
      <c r="BU203" s="442"/>
      <c r="BV203" s="442"/>
      <c r="BW203" s="442"/>
      <c r="BX203" s="442"/>
      <c r="BY203" s="442"/>
      <c r="BZ203" s="442"/>
      <c r="CA203" s="442"/>
      <c r="CB203" s="442"/>
      <c r="CC203" s="442"/>
      <c r="CD203" s="442"/>
      <c r="CE203" s="442"/>
      <c r="CF203" s="442"/>
      <c r="CG203" s="442"/>
      <c r="CH203" s="442"/>
      <c r="CI203" s="442"/>
      <c r="CJ203" s="442"/>
      <c r="CK203" s="442"/>
      <c r="CL203" s="442"/>
      <c r="CM203" s="442"/>
      <c r="CN203" s="442"/>
      <c r="CO203" s="442"/>
      <c r="CP203" s="442"/>
      <c r="CQ203" s="442"/>
      <c r="CR203" s="442"/>
      <c r="CS203" s="442"/>
      <c r="CT203" s="442"/>
      <c r="CU203" s="442"/>
      <c r="CV203" s="442"/>
      <c r="CW203" s="442"/>
      <c r="CX203" s="442"/>
      <c r="CY203" s="442"/>
      <c r="CZ203" s="442"/>
      <c r="DA203" s="442"/>
      <c r="DB203" s="442"/>
      <c r="DC203" s="442"/>
      <c r="DD203" s="442"/>
      <c r="DE203" s="442"/>
      <c r="DF203" s="442"/>
      <c r="DG203" s="442"/>
      <c r="DH203" s="442"/>
      <c r="DI203" s="442"/>
      <c r="DJ203" s="442"/>
      <c r="DK203" s="442"/>
      <c r="DL203" s="442"/>
      <c r="DM203" s="442"/>
      <c r="DN203" s="442"/>
      <c r="DO203" s="442"/>
      <c r="DP203" s="442"/>
      <c r="DQ203" s="442"/>
      <c r="DR203" s="442"/>
      <c r="DS203" s="442"/>
      <c r="DT203" s="442"/>
      <c r="DU203" s="442"/>
      <c r="DV203" s="442"/>
      <c r="DW203" s="442"/>
      <c r="DX203" s="442"/>
      <c r="DY203" s="442"/>
      <c r="DZ203" s="442"/>
      <c r="EA203" s="442"/>
      <c r="EB203" s="442"/>
      <c r="EC203" s="442"/>
      <c r="ED203" s="442"/>
      <c r="EE203" s="442"/>
      <c r="EF203" s="442"/>
      <c r="EG203" s="442"/>
      <c r="EH203" s="442"/>
      <c r="EI203" s="442"/>
      <c r="EJ203" s="442"/>
      <c r="EK203" s="442"/>
      <c r="EL203" s="442"/>
      <c r="EM203" s="442"/>
      <c r="EN203" s="442"/>
      <c r="EO203" s="442"/>
      <c r="EP203" s="442"/>
      <c r="EQ203" s="442"/>
      <c r="ER203" s="442"/>
      <c r="ES203" s="442"/>
      <c r="ET203" s="442"/>
      <c r="EU203" s="442"/>
      <c r="EV203" s="442"/>
      <c r="EW203" s="442"/>
      <c r="EX203" s="442"/>
      <c r="EY203" s="442"/>
      <c r="EZ203" s="442"/>
      <c r="FA203" s="442"/>
      <c r="FB203" s="442"/>
      <c r="FC203" s="442"/>
      <c r="FD203" s="442"/>
      <c r="FE203" s="442"/>
      <c r="FF203" s="442"/>
      <c r="FG203" s="442"/>
      <c r="FH203" s="442"/>
      <c r="FI203" s="442"/>
      <c r="FJ203" s="442"/>
      <c r="FK203" s="442"/>
      <c r="FL203" s="442"/>
      <c r="FM203" s="442"/>
      <c r="FN203" s="442"/>
      <c r="FO203" s="442"/>
      <c r="FP203" s="442"/>
      <c r="FQ203" s="442"/>
      <c r="FR203" s="442"/>
      <c r="FS203" s="442"/>
      <c r="FT203" s="442"/>
      <c r="FU203" s="442"/>
      <c r="FV203" s="442"/>
      <c r="FW203" s="442"/>
      <c r="FX203" s="442"/>
      <c r="FY203" s="442"/>
      <c r="FZ203" s="442"/>
      <c r="GA203" s="442"/>
      <c r="GB203" s="442"/>
      <c r="GC203" s="442"/>
      <c r="GD203" s="442"/>
      <c r="GE203" s="442"/>
      <c r="GF203" s="442"/>
      <c r="GG203" s="442"/>
      <c r="GH203" s="442"/>
      <c r="GI203" s="442"/>
      <c r="GJ203" s="442"/>
      <c r="GK203" s="442"/>
      <c r="GL203" s="442"/>
      <c r="GM203" s="442"/>
      <c r="GN203" s="442"/>
      <c r="GO203" s="442"/>
      <c r="GP203" s="442"/>
      <c r="GQ203" s="442"/>
      <c r="GR203" s="442"/>
      <c r="GS203" s="442"/>
      <c r="GT203" s="442"/>
      <c r="GU203" s="442"/>
      <c r="GV203" s="442"/>
      <c r="GW203" s="442"/>
      <c r="GX203" s="442"/>
      <c r="GY203" s="442"/>
      <c r="GZ203" s="442"/>
      <c r="HA203" s="442"/>
      <c r="HB203" s="442"/>
      <c r="HC203" s="442"/>
      <c r="HD203" s="442"/>
      <c r="HE203" s="442"/>
      <c r="HF203" s="442"/>
      <c r="HG203" s="442"/>
      <c r="HH203" s="442"/>
      <c r="HI203" s="442"/>
      <c r="HJ203" s="442"/>
      <c r="HK203" s="442"/>
      <c r="HL203" s="442"/>
      <c r="HM203" s="442"/>
      <c r="HN203" s="442"/>
      <c r="HO203" s="442"/>
      <c r="HP203" s="442"/>
      <c r="HQ203" s="442"/>
      <c r="HR203" s="442"/>
      <c r="HS203" s="442"/>
      <c r="HT203" s="442"/>
      <c r="HU203" s="442"/>
      <c r="HV203" s="442"/>
      <c r="HW203" s="442"/>
      <c r="HX203" s="442"/>
      <c r="HY203" s="442"/>
      <c r="HZ203" s="442"/>
      <c r="IA203" s="442"/>
      <c r="IB203" s="442"/>
      <c r="IC203" s="442"/>
      <c r="ID203" s="442"/>
      <c r="IE203" s="442"/>
      <c r="IF203" s="442"/>
      <c r="IG203" s="442"/>
      <c r="IH203" s="442"/>
      <c r="II203" s="442"/>
      <c r="IJ203" s="442"/>
      <c r="IK203" s="442"/>
      <c r="IL203" s="442"/>
      <c r="IM203" s="442"/>
      <c r="IN203" s="442"/>
      <c r="IO203" s="442"/>
      <c r="IP203" s="442"/>
      <c r="IQ203" s="442"/>
      <c r="IR203" s="442"/>
      <c r="IS203" s="442"/>
      <c r="IT203" s="442"/>
      <c r="IU203" s="442"/>
      <c r="IV203" s="442"/>
      <c r="IW203" s="442"/>
      <c r="IX203" s="442"/>
      <c r="IY203" s="442"/>
      <c r="IZ203" s="442"/>
      <c r="JA203" s="442"/>
      <c r="JB203" s="442"/>
      <c r="JC203" s="442"/>
      <c r="JD203" s="442"/>
      <c r="JE203" s="442"/>
      <c r="JF203" s="442"/>
      <c r="JG203" s="442"/>
      <c r="JH203" s="442"/>
      <c r="JI203" s="442"/>
      <c r="JJ203" s="442"/>
      <c r="JK203" s="442"/>
      <c r="JL203" s="442"/>
      <c r="JM203" s="442"/>
      <c r="JN203" s="442"/>
      <c r="JO203" s="442"/>
      <c r="JP203" s="442"/>
      <c r="JQ203" s="442"/>
      <c r="JR203" s="442"/>
      <c r="JS203" s="442"/>
      <c r="JT203" s="442"/>
      <c r="JU203" s="442"/>
      <c r="JV203" s="442"/>
      <c r="JW203" s="442"/>
      <c r="JX203" s="442"/>
      <c r="JY203" s="442"/>
      <c r="JZ203" s="442"/>
      <c r="KA203" s="442"/>
      <c r="KB203" s="442"/>
      <c r="KC203" s="442"/>
      <c r="KD203" s="442"/>
      <c r="KE203" s="442"/>
      <c r="KF203" s="442"/>
      <c r="KG203" s="442"/>
      <c r="KH203" s="442"/>
      <c r="KI203" s="442"/>
      <c r="KJ203" s="442"/>
      <c r="KK203" s="442"/>
      <c r="KL203" s="442"/>
      <c r="KM203" s="442"/>
      <c r="KN203" s="442"/>
      <c r="KO203" s="442"/>
      <c r="KP203" s="442"/>
      <c r="KQ203" s="442"/>
      <c r="KR203" s="442"/>
      <c r="KS203" s="442"/>
      <c r="KT203" s="442"/>
      <c r="KU203" s="442"/>
      <c r="KV203" s="442"/>
      <c r="KW203" s="442"/>
      <c r="KX203" s="442"/>
      <c r="KY203" s="442"/>
      <c r="KZ203" s="442"/>
      <c r="LA203" s="442"/>
      <c r="LB203" s="442"/>
      <c r="LC203" s="442"/>
      <c r="LD203" s="442"/>
      <c r="LE203" s="442"/>
      <c r="LF203" s="442"/>
      <c r="LG203" s="442"/>
      <c r="LH203" s="442"/>
      <c r="LI203" s="442"/>
      <c r="LJ203" s="442"/>
      <c r="LK203" s="442"/>
      <c r="LL203" s="442"/>
      <c r="LM203" s="442"/>
      <c r="LN203" s="442"/>
      <c r="LO203" s="442"/>
      <c r="LP203" s="442"/>
      <c r="LQ203" s="442"/>
      <c r="LR203" s="442"/>
      <c r="LS203" s="442"/>
      <c r="LT203" s="442"/>
      <c r="LU203" s="442"/>
      <c r="LV203" s="442"/>
      <c r="LW203" s="442"/>
      <c r="LX203" s="442"/>
      <c r="LY203" s="442"/>
      <c r="LZ203" s="442"/>
      <c r="MA203" s="442"/>
      <c r="MB203" s="442"/>
      <c r="MC203" s="442"/>
      <c r="MD203" s="442"/>
      <c r="ME203" s="442"/>
      <c r="MF203" s="442"/>
      <c r="MG203" s="442"/>
      <c r="MH203" s="442"/>
      <c r="MI203" s="442"/>
      <c r="MJ203" s="442"/>
      <c r="MK203" s="442"/>
      <c r="ML203" s="442"/>
      <c r="MM203" s="442"/>
      <c r="MN203" s="442"/>
      <c r="MO203" s="442"/>
      <c r="MP203" s="442"/>
      <c r="MQ203" s="442"/>
      <c r="MR203" s="442"/>
      <c r="MS203" s="442"/>
      <c r="MT203" s="442"/>
      <c r="MU203" s="442"/>
      <c r="MV203" s="442"/>
      <c r="MW203" s="442"/>
      <c r="MX203" s="442"/>
      <c r="MY203" s="442"/>
      <c r="MZ203" s="442"/>
      <c r="NA203" s="442"/>
      <c r="NB203" s="442"/>
      <c r="NC203" s="442"/>
      <c r="ND203" s="442"/>
      <c r="NE203" s="442"/>
      <c r="NF203" s="442"/>
      <c r="NG203" s="442"/>
      <c r="NH203" s="442"/>
      <c r="NI203" s="442"/>
      <c r="NJ203" s="442"/>
      <c r="NK203" s="442"/>
      <c r="NL203" s="442"/>
      <c r="NM203" s="442"/>
      <c r="NN203" s="442"/>
      <c r="NO203" s="442"/>
      <c r="NP203" s="442"/>
      <c r="NQ203" s="442"/>
      <c r="NR203" s="442"/>
      <c r="NS203" s="442"/>
      <c r="NT203" s="442"/>
      <c r="NU203" s="442"/>
      <c r="NV203" s="442"/>
      <c r="NW203" s="442"/>
      <c r="NX203" s="442"/>
      <c r="NY203" s="442"/>
      <c r="NZ203" s="442"/>
      <c r="OA203" s="442"/>
      <c r="OB203" s="442"/>
      <c r="OC203" s="442"/>
      <c r="OD203" s="442"/>
      <c r="OE203" s="442"/>
      <c r="OF203" s="442"/>
      <c r="OG203" s="442"/>
      <c r="OH203" s="442"/>
      <c r="OI203" s="442"/>
      <c r="OJ203" s="442"/>
      <c r="OK203" s="442"/>
      <c r="OL203" s="442"/>
      <c r="OM203" s="442"/>
      <c r="ON203" s="442"/>
      <c r="OO203" s="442"/>
      <c r="OP203" s="442"/>
      <c r="OQ203" s="442"/>
      <c r="OR203" s="442"/>
      <c r="OS203" s="442"/>
      <c r="OT203" s="442"/>
      <c r="OU203" s="442"/>
      <c r="OV203" s="442"/>
      <c r="OW203" s="442"/>
      <c r="OX203" s="442"/>
      <c r="OY203" s="442"/>
      <c r="OZ203" s="442"/>
      <c r="PA203" s="442"/>
      <c r="PB203" s="442"/>
      <c r="PC203" s="442"/>
      <c r="PD203" s="442"/>
      <c r="PE203" s="442"/>
      <c r="PF203" s="442"/>
      <c r="PG203" s="442"/>
      <c r="PH203" s="442"/>
      <c r="PI203" s="442"/>
      <c r="PJ203" s="442"/>
      <c r="PK203" s="442"/>
      <c r="PL203" s="442"/>
      <c r="PM203" s="442"/>
      <c r="PN203" s="442"/>
      <c r="PO203" s="442"/>
      <c r="PP203" s="442"/>
      <c r="PQ203" s="442"/>
      <c r="PR203" s="442"/>
      <c r="PS203" s="442"/>
      <c r="PT203" s="442"/>
      <c r="PU203" s="442"/>
      <c r="PV203" s="442"/>
      <c r="PW203" s="442"/>
      <c r="PX203" s="442"/>
      <c r="PY203" s="442"/>
      <c r="PZ203" s="442"/>
      <c r="QA203" s="442"/>
      <c r="QB203" s="442"/>
      <c r="QC203" s="442"/>
      <c r="QD203" s="442"/>
      <c r="QE203" s="442"/>
      <c r="QF203" s="442"/>
      <c r="QG203" s="442"/>
      <c r="QH203" s="442"/>
      <c r="QI203" s="442"/>
      <c r="QJ203" s="442"/>
      <c r="QK203" s="442"/>
      <c r="QL203" s="442"/>
      <c r="QM203" s="442"/>
      <c r="QN203" s="442"/>
      <c r="QO203" s="442"/>
      <c r="QP203" s="442"/>
      <c r="QQ203" s="442"/>
      <c r="QR203" s="442"/>
      <c r="QS203" s="442"/>
      <c r="QT203" s="442"/>
      <c r="QU203" s="442"/>
      <c r="QV203" s="442"/>
      <c r="QW203" s="442"/>
      <c r="QX203" s="442"/>
      <c r="QY203" s="442"/>
      <c r="QZ203" s="442"/>
      <c r="RA203" s="442"/>
      <c r="RB203" s="442"/>
      <c r="RC203" s="442"/>
      <c r="RD203" s="442"/>
      <c r="RE203" s="442"/>
      <c r="RF203" s="442"/>
      <c r="RG203" s="442"/>
      <c r="RH203" s="442"/>
      <c r="RI203" s="442"/>
      <c r="RJ203" s="442"/>
      <c r="RK203" s="442"/>
      <c r="RL203" s="442"/>
      <c r="RM203" s="442"/>
      <c r="RN203" s="442"/>
      <c r="RO203" s="442"/>
      <c r="RP203" s="442"/>
      <c r="RQ203" s="442"/>
      <c r="RR203" s="442"/>
      <c r="RS203" s="442"/>
      <c r="RT203" s="442"/>
      <c r="RU203" s="442"/>
      <c r="RV203" s="442"/>
      <c r="RW203" s="442"/>
      <c r="RX203" s="442"/>
      <c r="RY203" s="442"/>
      <c r="RZ203" s="442"/>
      <c r="SA203" s="442"/>
      <c r="SB203" s="442"/>
      <c r="SC203" s="442"/>
      <c r="SD203" s="442"/>
      <c r="SE203" s="442"/>
      <c r="SF203" s="442"/>
      <c r="SG203" s="442"/>
      <c r="SH203" s="442"/>
      <c r="SI203" s="442"/>
      <c r="SJ203" s="442"/>
      <c r="SK203" s="442"/>
      <c r="SL203" s="442"/>
      <c r="SM203" s="442"/>
      <c r="SN203" s="442"/>
      <c r="SO203" s="442"/>
      <c r="SP203" s="442"/>
      <c r="SQ203" s="442"/>
      <c r="SR203" s="442"/>
      <c r="SS203" s="442"/>
      <c r="ST203" s="442"/>
      <c r="SU203" s="442"/>
      <c r="SV203" s="442"/>
      <c r="SW203" s="442"/>
      <c r="SX203" s="442"/>
      <c r="SY203" s="442"/>
      <c r="SZ203" s="442"/>
      <c r="TA203" s="442"/>
      <c r="TB203" s="442"/>
      <c r="TC203" s="442"/>
      <c r="TD203" s="442"/>
      <c r="TE203" s="442"/>
      <c r="TF203" s="442"/>
      <c r="TG203" s="442"/>
      <c r="TH203" s="442"/>
      <c r="TI203" s="442"/>
      <c r="TJ203" s="442"/>
      <c r="TK203" s="442"/>
      <c r="TL203" s="442"/>
      <c r="TM203" s="442"/>
      <c r="TN203" s="442"/>
      <c r="TO203" s="442"/>
      <c r="TP203" s="442"/>
      <c r="TQ203" s="442"/>
      <c r="TR203" s="442"/>
      <c r="TS203" s="442"/>
      <c r="TT203" s="442"/>
      <c r="TU203" s="442"/>
      <c r="TV203" s="442"/>
      <c r="TW203" s="442"/>
      <c r="TX203" s="442"/>
      <c r="TY203" s="442"/>
      <c r="TZ203" s="442"/>
      <c r="UA203" s="442"/>
      <c r="UB203" s="442"/>
      <c r="UC203" s="442"/>
      <c r="UD203" s="442"/>
      <c r="UE203" s="442"/>
      <c r="UF203" s="442"/>
      <c r="UG203" s="442"/>
      <c r="UH203" s="442"/>
      <c r="UI203" s="442"/>
      <c r="UJ203" s="442"/>
      <c r="UK203" s="442"/>
      <c r="UL203" s="442"/>
      <c r="UM203" s="442"/>
      <c r="UN203" s="442"/>
      <c r="UO203" s="442"/>
      <c r="UP203" s="442"/>
      <c r="UQ203" s="442"/>
      <c r="UR203" s="442"/>
      <c r="US203" s="442"/>
      <c r="UT203" s="442"/>
      <c r="UU203" s="442"/>
      <c r="UV203" s="442"/>
      <c r="UW203" s="442"/>
      <c r="UX203" s="442"/>
      <c r="UY203" s="442"/>
      <c r="UZ203" s="442"/>
      <c r="VA203" s="442"/>
      <c r="VB203" s="442"/>
      <c r="VC203" s="442"/>
      <c r="VD203" s="442"/>
      <c r="VE203" s="442"/>
      <c r="VF203" s="442"/>
      <c r="VG203" s="442"/>
      <c r="VH203" s="442"/>
      <c r="VI203" s="442"/>
      <c r="VJ203" s="442"/>
      <c r="VK203" s="442"/>
      <c r="VL203" s="442"/>
      <c r="VM203" s="442"/>
      <c r="VN203" s="442"/>
      <c r="VO203" s="442"/>
      <c r="VP203" s="442"/>
      <c r="VQ203" s="442"/>
      <c r="VR203" s="442"/>
      <c r="VS203" s="442"/>
      <c r="VT203" s="442"/>
      <c r="VU203" s="442"/>
      <c r="VV203" s="442"/>
      <c r="VW203" s="442"/>
      <c r="VX203" s="442"/>
      <c r="VY203" s="442"/>
      <c r="VZ203" s="442"/>
      <c r="WA203" s="442"/>
      <c r="WB203" s="442"/>
      <c r="WC203" s="442"/>
      <c r="WD203" s="442"/>
      <c r="WE203" s="442"/>
      <c r="WF203" s="442"/>
      <c r="WG203" s="442"/>
      <c r="WH203" s="442"/>
      <c r="WI203" s="442"/>
      <c r="WJ203" s="442"/>
      <c r="WK203" s="442"/>
      <c r="WL203" s="442"/>
      <c r="WM203" s="442"/>
      <c r="WN203" s="442"/>
      <c r="WO203" s="442"/>
      <c r="WP203" s="442"/>
      <c r="WQ203" s="442"/>
      <c r="WR203" s="442"/>
      <c r="WS203" s="442"/>
      <c r="WT203" s="442"/>
      <c r="WU203" s="442"/>
      <c r="WV203" s="442"/>
      <c r="WW203" s="442"/>
      <c r="WX203" s="442"/>
      <c r="WY203" s="442"/>
      <c r="WZ203" s="442"/>
      <c r="XA203" s="442"/>
      <c r="XB203" s="442"/>
      <c r="XC203" s="442"/>
      <c r="XD203" s="442"/>
      <c r="XE203" s="442"/>
      <c r="XF203" s="442"/>
      <c r="XG203" s="442"/>
      <c r="XH203" s="442"/>
      <c r="XI203" s="442"/>
      <c r="XJ203" s="442"/>
      <c r="XK203" s="442"/>
      <c r="XL203" s="442"/>
      <c r="XM203" s="442"/>
      <c r="XN203" s="442"/>
      <c r="XO203" s="442"/>
      <c r="XP203" s="442"/>
      <c r="XQ203" s="442"/>
      <c r="XR203" s="442"/>
      <c r="XS203" s="442"/>
      <c r="XT203" s="442"/>
      <c r="XU203" s="442"/>
      <c r="XV203" s="442"/>
      <c r="XW203" s="442"/>
      <c r="XX203" s="442"/>
      <c r="XY203" s="442"/>
      <c r="XZ203" s="442"/>
      <c r="YA203" s="442"/>
      <c r="YB203" s="442"/>
      <c r="YC203" s="442"/>
      <c r="YD203" s="442"/>
      <c r="YE203" s="442"/>
      <c r="YF203" s="442"/>
      <c r="YG203" s="442"/>
      <c r="YH203" s="442"/>
      <c r="YI203" s="442"/>
      <c r="YJ203" s="442"/>
      <c r="YK203" s="442"/>
      <c r="YL203" s="442"/>
      <c r="YM203" s="442"/>
      <c r="YN203" s="442"/>
      <c r="YO203" s="442"/>
      <c r="YP203" s="442"/>
      <c r="YQ203" s="442"/>
      <c r="YR203" s="442"/>
      <c r="YS203" s="442"/>
      <c r="YT203" s="442"/>
      <c r="YU203" s="442"/>
      <c r="YV203" s="442"/>
      <c r="YW203" s="442"/>
      <c r="YX203" s="442"/>
      <c r="YY203" s="442"/>
      <c r="YZ203" s="442"/>
      <c r="ZA203" s="442"/>
      <c r="ZB203" s="442"/>
      <c r="ZC203" s="442"/>
      <c r="ZD203" s="442"/>
      <c r="ZE203" s="442"/>
      <c r="ZF203" s="442"/>
      <c r="ZG203" s="442"/>
      <c r="ZH203" s="442"/>
      <c r="ZI203" s="442"/>
      <c r="ZJ203" s="442"/>
      <c r="ZK203" s="442"/>
      <c r="ZL203" s="442"/>
      <c r="ZM203" s="442"/>
      <c r="ZN203" s="442"/>
      <c r="ZO203" s="442"/>
      <c r="ZP203" s="442"/>
      <c r="ZQ203" s="442"/>
      <c r="ZR203" s="442"/>
      <c r="ZS203" s="442"/>
      <c r="ZT203" s="442"/>
      <c r="ZU203" s="442"/>
      <c r="ZV203" s="442"/>
      <c r="ZW203" s="442"/>
      <c r="ZX203" s="442"/>
      <c r="ZY203" s="442"/>
      <c r="ZZ203" s="442"/>
      <c r="AAA203" s="442"/>
      <c r="AAB203" s="442"/>
      <c r="AAC203" s="442"/>
      <c r="AAD203" s="442"/>
      <c r="AAE203" s="442"/>
      <c r="AAF203" s="442"/>
      <c r="AAG203" s="442"/>
      <c r="AAH203" s="442"/>
      <c r="AAI203" s="442"/>
      <c r="AAJ203" s="442"/>
      <c r="AAK203" s="442"/>
      <c r="AAL203" s="442"/>
      <c r="AAM203" s="442"/>
      <c r="AAN203" s="442"/>
      <c r="AAO203" s="442"/>
      <c r="AAP203" s="442"/>
      <c r="AAQ203" s="442"/>
      <c r="AAR203" s="442"/>
      <c r="AAS203" s="442"/>
      <c r="AAT203" s="442"/>
      <c r="AAU203" s="442"/>
      <c r="AAV203" s="442"/>
      <c r="AAW203" s="442"/>
      <c r="AAX203" s="442"/>
      <c r="AAY203" s="442"/>
      <c r="AAZ203" s="442"/>
      <c r="ABA203" s="442"/>
      <c r="ABB203" s="442"/>
      <c r="ABC203" s="442"/>
      <c r="ABD203" s="442"/>
      <c r="ABE203" s="442"/>
      <c r="ABF203" s="442"/>
      <c r="ABG203" s="442"/>
      <c r="ABH203" s="442"/>
      <c r="ABI203" s="442"/>
      <c r="ABJ203" s="442"/>
      <c r="ABK203" s="442"/>
      <c r="ABL203" s="442"/>
      <c r="ABM203" s="442"/>
      <c r="ABN203" s="442"/>
      <c r="ABO203" s="442"/>
      <c r="ABP203" s="442"/>
      <c r="ABQ203" s="442"/>
      <c r="ABR203" s="442"/>
      <c r="ABS203" s="442"/>
      <c r="ABT203" s="442"/>
      <c r="ABU203" s="442"/>
      <c r="ABV203" s="442"/>
      <c r="ABW203" s="442"/>
      <c r="ABX203" s="442"/>
      <c r="ABY203" s="442"/>
      <c r="ABZ203" s="442"/>
      <c r="ACA203" s="442"/>
      <c r="ACB203" s="442"/>
      <c r="ACC203" s="442"/>
      <c r="ACD203" s="442"/>
      <c r="ACE203" s="442"/>
      <c r="ACF203" s="442"/>
      <c r="ACG203" s="442"/>
      <c r="ACH203" s="442"/>
      <c r="ACI203" s="442"/>
      <c r="ACJ203" s="442"/>
      <c r="ACK203" s="442"/>
      <c r="ACL203" s="442"/>
      <c r="ACM203" s="442"/>
      <c r="ACN203" s="442"/>
      <c r="ACO203" s="442"/>
      <c r="ACP203" s="442"/>
      <c r="ACQ203" s="442"/>
      <c r="ACR203" s="442"/>
      <c r="ACS203" s="442"/>
      <c r="ACT203" s="442"/>
      <c r="ACU203" s="442"/>
      <c r="ACV203" s="442"/>
      <c r="ACW203" s="442"/>
      <c r="ACX203" s="442"/>
      <c r="ACY203" s="442"/>
      <c r="ACZ203" s="442"/>
      <c r="ADA203" s="442"/>
      <c r="ADB203" s="442"/>
      <c r="ADC203" s="442"/>
      <c r="ADD203" s="442"/>
      <c r="ADE203" s="442"/>
      <c r="ADF203" s="442"/>
      <c r="ADG203" s="442"/>
      <c r="ADH203" s="442"/>
      <c r="ADI203" s="442"/>
      <c r="ADJ203" s="442"/>
      <c r="ADK203" s="442"/>
      <c r="ADL203" s="442"/>
      <c r="ADM203" s="442"/>
      <c r="ADN203" s="442"/>
      <c r="ADO203" s="442"/>
      <c r="ADP203" s="442"/>
      <c r="ADQ203" s="442"/>
      <c r="ADR203" s="442"/>
      <c r="ADS203" s="442"/>
      <c r="ADT203" s="442"/>
      <c r="ADU203" s="442"/>
      <c r="ADV203" s="442"/>
      <c r="ADW203" s="442"/>
      <c r="ADX203" s="442"/>
      <c r="ADY203" s="442"/>
      <c r="ADZ203" s="442"/>
      <c r="AEA203" s="442"/>
      <c r="AEB203" s="442"/>
      <c r="AEC203" s="442"/>
      <c r="AED203" s="442"/>
      <c r="AEE203" s="442"/>
      <c r="AEF203" s="442"/>
      <c r="AEG203" s="442"/>
      <c r="AEH203" s="442"/>
      <c r="AEI203" s="442"/>
      <c r="AEJ203" s="442"/>
      <c r="AEK203" s="442"/>
      <c r="AEL203" s="442"/>
      <c r="AEM203" s="442"/>
      <c r="AEN203" s="442"/>
      <c r="AEO203" s="442"/>
      <c r="AEP203" s="442"/>
      <c r="AEQ203" s="442"/>
      <c r="AER203" s="442"/>
      <c r="AES203" s="442"/>
      <c r="AET203" s="442"/>
      <c r="AEU203" s="442"/>
      <c r="AEV203" s="442"/>
      <c r="AEW203" s="442"/>
      <c r="AEX203" s="442"/>
      <c r="AEY203" s="442"/>
      <c r="AEZ203" s="442"/>
      <c r="AFA203" s="442"/>
      <c r="AFB203" s="442"/>
      <c r="AFC203" s="442"/>
      <c r="AFD203" s="442"/>
      <c r="AFE203" s="442"/>
      <c r="AFF203" s="442"/>
      <c r="AFG203" s="442"/>
      <c r="AFH203" s="442"/>
      <c r="AFI203" s="442"/>
      <c r="AFJ203" s="442"/>
      <c r="AFK203" s="442"/>
      <c r="AFL203" s="442"/>
      <c r="AFM203" s="442"/>
      <c r="AFN203" s="442"/>
      <c r="AFO203" s="442"/>
      <c r="AFP203" s="442"/>
      <c r="AFQ203" s="442"/>
      <c r="AFR203" s="442"/>
      <c r="AFS203" s="442"/>
      <c r="AFT203" s="442"/>
      <c r="AFU203" s="442"/>
      <c r="AFV203" s="442"/>
      <c r="AFW203" s="442"/>
      <c r="AFX203" s="442"/>
      <c r="AFY203" s="442"/>
      <c r="AFZ203" s="442"/>
      <c r="AGA203" s="442"/>
      <c r="AGB203" s="442"/>
      <c r="AGC203" s="442"/>
      <c r="AGD203" s="442"/>
      <c r="AGE203" s="442"/>
      <c r="AGF203" s="442"/>
      <c r="AGG203" s="442"/>
      <c r="AGH203" s="442"/>
      <c r="AGI203" s="442"/>
      <c r="AGJ203" s="442"/>
      <c r="AGK203" s="442"/>
      <c r="AGL203" s="442"/>
      <c r="AGM203" s="442"/>
      <c r="AGN203" s="442"/>
      <c r="AGO203" s="442"/>
      <c r="AGP203" s="442"/>
      <c r="AGQ203" s="442"/>
      <c r="AGR203" s="442"/>
      <c r="AGS203" s="442"/>
      <c r="AGT203" s="442"/>
      <c r="AGU203" s="442"/>
      <c r="AGV203" s="442"/>
      <c r="AGW203" s="442"/>
      <c r="AGX203" s="442"/>
      <c r="AGY203" s="442"/>
      <c r="AGZ203" s="442"/>
      <c r="AHA203" s="442"/>
      <c r="AHB203" s="442"/>
      <c r="AHC203" s="442"/>
      <c r="AHD203" s="442"/>
      <c r="AHE203" s="442"/>
      <c r="AHF203" s="442"/>
      <c r="AHG203" s="442"/>
      <c r="AHH203" s="442"/>
      <c r="AHI203" s="442"/>
      <c r="AHJ203" s="442"/>
      <c r="AHK203" s="442"/>
      <c r="AHL203" s="442"/>
      <c r="AHM203" s="442"/>
      <c r="AHN203" s="442"/>
      <c r="AHO203" s="442"/>
      <c r="AHP203" s="442"/>
      <c r="AHQ203" s="442"/>
      <c r="AHR203" s="442"/>
      <c r="AHS203" s="442"/>
      <c r="AHT203" s="442"/>
      <c r="AHU203" s="442"/>
      <c r="AHV203" s="442"/>
      <c r="AHW203" s="442"/>
      <c r="AHX203" s="442"/>
      <c r="AHY203" s="442"/>
      <c r="AHZ203" s="442"/>
      <c r="AIA203" s="442"/>
      <c r="AIB203" s="442"/>
      <c r="AIC203" s="442"/>
      <c r="AID203" s="442"/>
      <c r="AIE203" s="442"/>
      <c r="AIF203" s="442"/>
      <c r="AIG203" s="442"/>
      <c r="AIH203" s="442"/>
      <c r="AII203" s="442"/>
      <c r="AIJ203" s="442"/>
      <c r="AIK203" s="442"/>
      <c r="AIL203" s="442"/>
      <c r="AIM203" s="442"/>
      <c r="AIN203" s="442"/>
      <c r="AIO203" s="442"/>
      <c r="AIP203" s="442"/>
      <c r="AIQ203" s="442"/>
      <c r="AIR203" s="442"/>
      <c r="AIS203" s="442"/>
      <c r="AIT203" s="442"/>
      <c r="AIU203" s="442"/>
      <c r="AIV203" s="442"/>
      <c r="AIW203" s="442"/>
      <c r="AIX203" s="442"/>
      <c r="AIY203" s="442"/>
      <c r="AIZ203" s="442"/>
      <c r="AJA203" s="442"/>
      <c r="AJB203" s="442"/>
      <c r="AJC203" s="442"/>
      <c r="AJD203" s="442"/>
      <c r="AJE203" s="442"/>
      <c r="AJF203" s="442"/>
      <c r="AJG203" s="442"/>
      <c r="AJH203" s="442"/>
      <c r="AJI203" s="442"/>
      <c r="AJJ203" s="442"/>
      <c r="AJK203" s="442"/>
      <c r="AJL203" s="442"/>
      <c r="AJM203" s="442"/>
      <c r="AJN203" s="442"/>
      <c r="AJO203" s="442"/>
      <c r="AJP203" s="442"/>
      <c r="AJQ203" s="442"/>
      <c r="AJR203" s="442"/>
      <c r="AJS203" s="442"/>
      <c r="AJT203" s="442"/>
      <c r="AJU203" s="442"/>
      <c r="AJV203" s="442"/>
      <c r="AJW203" s="442"/>
      <c r="AJX203" s="442"/>
      <c r="AJY203" s="442"/>
      <c r="AJZ203" s="442"/>
      <c r="AKA203" s="442"/>
      <c r="AKB203" s="442"/>
      <c r="AKC203" s="442"/>
      <c r="AKD203" s="442"/>
      <c r="AKE203" s="442"/>
      <c r="AKF203" s="442"/>
      <c r="AKG203" s="442"/>
      <c r="AKH203" s="442"/>
      <c r="AKI203" s="442"/>
      <c r="AKJ203" s="442"/>
      <c r="AKK203" s="442"/>
      <c r="AKL203" s="442"/>
      <c r="AKM203" s="442"/>
      <c r="AKN203" s="442"/>
      <c r="AKO203" s="442"/>
      <c r="AKP203" s="442"/>
      <c r="AKQ203" s="442"/>
      <c r="AKR203" s="442"/>
      <c r="AKS203" s="442"/>
      <c r="AKT203" s="442"/>
      <c r="AKU203" s="442"/>
      <c r="AKV203" s="442"/>
      <c r="AKW203" s="442"/>
      <c r="AKX203" s="442"/>
      <c r="AKY203" s="442"/>
      <c r="AKZ203" s="442"/>
      <c r="ALA203" s="442"/>
      <c r="ALB203" s="442"/>
      <c r="ALC203" s="442"/>
      <c r="ALD203" s="442"/>
      <c r="ALE203" s="442"/>
      <c r="ALF203" s="442"/>
      <c r="ALG203" s="442"/>
      <c r="ALH203" s="442"/>
      <c r="ALI203" s="442"/>
      <c r="ALJ203" s="442"/>
      <c r="ALK203" s="442"/>
      <c r="ALL203" s="442"/>
      <c r="ALM203" s="442"/>
      <c r="ALN203" s="442"/>
      <c r="ALO203" s="442"/>
      <c r="ALP203" s="442"/>
      <c r="ALQ203" s="442"/>
      <c r="ALR203" s="442"/>
      <c r="ALS203" s="442"/>
      <c r="ALT203" s="442"/>
      <c r="ALU203" s="442"/>
      <c r="ALV203" s="442"/>
      <c r="ALW203" s="442"/>
      <c r="ALX203" s="442"/>
      <c r="ALY203" s="442"/>
      <c r="ALZ203" s="442"/>
      <c r="AMA203" s="442"/>
      <c r="AMB203" s="442"/>
      <c r="AMC203" s="442"/>
      <c r="AMD203" s="442"/>
      <c r="AME203" s="442"/>
      <c r="AMF203" s="442"/>
      <c r="AMG203" s="442"/>
      <c r="AMH203" s="442"/>
      <c r="AMI203" s="442"/>
      <c r="AMJ203" s="442"/>
      <c r="AMK203" s="442"/>
      <c r="AML203" s="442"/>
      <c r="AMM203" s="442"/>
      <c r="AMN203" s="442"/>
      <c r="AMO203" s="442"/>
      <c r="AMP203" s="442"/>
      <c r="AMQ203" s="442"/>
      <c r="AMR203" s="442"/>
      <c r="AMS203" s="442"/>
      <c r="AMT203" s="442"/>
      <c r="AMU203" s="442"/>
      <c r="AMV203" s="442"/>
      <c r="AMW203" s="442"/>
      <c r="AMX203" s="442"/>
      <c r="AMY203" s="442"/>
      <c r="AMZ203" s="442"/>
      <c r="ANA203" s="442"/>
      <c r="ANB203" s="442"/>
      <c r="ANC203" s="442"/>
      <c r="AND203" s="442"/>
      <c r="ANE203" s="442"/>
      <c r="ANF203" s="442"/>
      <c r="ANG203" s="442"/>
      <c r="ANH203" s="442"/>
      <c r="ANI203" s="442"/>
      <c r="ANJ203" s="442"/>
      <c r="ANK203" s="442"/>
      <c r="ANL203" s="442"/>
      <c r="ANM203" s="442"/>
      <c r="ANN203" s="442"/>
      <c r="ANO203" s="442"/>
      <c r="ANP203" s="442"/>
      <c r="ANQ203" s="442"/>
      <c r="ANR203" s="442"/>
      <c r="ANS203" s="442"/>
      <c r="ANT203" s="442"/>
      <c r="ANU203" s="442"/>
      <c r="ANV203" s="442"/>
      <c r="ANW203" s="442"/>
      <c r="ANX203" s="442"/>
      <c r="ANY203" s="442"/>
      <c r="ANZ203" s="442"/>
      <c r="AOA203" s="442"/>
      <c r="AOB203" s="442"/>
      <c r="AOC203" s="442"/>
      <c r="AOD203" s="442"/>
      <c r="AOE203" s="442"/>
      <c r="AOF203" s="442"/>
      <c r="AOG203" s="442"/>
      <c r="AOH203" s="442"/>
      <c r="AOI203" s="442"/>
      <c r="AOJ203" s="442"/>
      <c r="AOK203" s="442"/>
      <c r="AOL203" s="442"/>
      <c r="AOM203" s="442"/>
      <c r="AON203" s="442"/>
      <c r="AOO203" s="442"/>
      <c r="AOP203" s="442"/>
      <c r="AOQ203" s="442"/>
      <c r="AOR203" s="442"/>
      <c r="AOS203" s="442"/>
      <c r="AOT203" s="442"/>
      <c r="AOU203" s="442"/>
      <c r="AOV203" s="442"/>
      <c r="AOW203" s="442"/>
      <c r="AOX203" s="442"/>
      <c r="AOY203" s="442"/>
      <c r="AOZ203" s="442"/>
      <c r="APA203" s="442"/>
      <c r="APB203" s="442"/>
      <c r="APC203" s="442"/>
      <c r="APD203" s="442"/>
      <c r="APE203" s="442"/>
      <c r="APF203" s="442"/>
      <c r="APG203" s="442"/>
      <c r="APH203" s="442"/>
      <c r="API203" s="442"/>
      <c r="APJ203" s="442"/>
      <c r="APK203" s="442"/>
      <c r="APL203" s="442"/>
      <c r="APM203" s="442"/>
      <c r="APN203" s="442"/>
      <c r="APO203" s="442"/>
      <c r="APP203" s="442"/>
      <c r="APQ203" s="442"/>
      <c r="APR203" s="442"/>
      <c r="APS203" s="442"/>
      <c r="APT203" s="442"/>
      <c r="APU203" s="442"/>
      <c r="APV203" s="442"/>
      <c r="APW203" s="442"/>
      <c r="APX203" s="442"/>
      <c r="APY203" s="442"/>
      <c r="APZ203" s="442"/>
      <c r="AQA203" s="442"/>
      <c r="AQB203" s="442"/>
      <c r="AQC203" s="442"/>
      <c r="AQD203" s="442"/>
      <c r="AQE203" s="442"/>
      <c r="AQF203" s="442"/>
      <c r="AQG203" s="442"/>
      <c r="AQH203" s="442"/>
      <c r="AQI203" s="442"/>
      <c r="AQJ203" s="442"/>
      <c r="AQK203" s="442"/>
      <c r="AQL203" s="442"/>
      <c r="AQM203" s="442"/>
      <c r="AQN203" s="442"/>
      <c r="AQO203" s="442"/>
      <c r="AQP203" s="442"/>
      <c r="AQQ203" s="442"/>
      <c r="AQR203" s="442"/>
      <c r="AQS203" s="442"/>
      <c r="AQT203" s="442"/>
      <c r="AQU203" s="442"/>
      <c r="AQV203" s="442"/>
      <c r="AQW203" s="442"/>
      <c r="AQX203" s="442"/>
      <c r="AQY203" s="442"/>
      <c r="AQZ203" s="442"/>
      <c r="ARA203" s="442"/>
      <c r="ARB203" s="442"/>
      <c r="ARC203" s="442"/>
      <c r="ARD203" s="442"/>
      <c r="ARE203" s="442"/>
      <c r="ARF203" s="442"/>
      <c r="ARG203" s="442"/>
      <c r="ARH203" s="442"/>
      <c r="ARI203" s="442"/>
      <c r="ARJ203" s="442"/>
      <c r="ARK203" s="442"/>
      <c r="ARL203" s="442"/>
      <c r="ARM203" s="442"/>
      <c r="ARN203" s="442"/>
      <c r="ARO203" s="442"/>
      <c r="ARP203" s="442"/>
      <c r="ARQ203" s="442"/>
      <c r="ARR203" s="442"/>
      <c r="ARS203" s="442"/>
      <c r="ART203" s="442"/>
      <c r="ARU203" s="442"/>
      <c r="ARV203" s="442"/>
      <c r="ARW203" s="442"/>
      <c r="ARX203" s="442"/>
      <c r="ARY203" s="442"/>
      <c r="ARZ203" s="442"/>
      <c r="ASA203" s="442"/>
      <c r="ASB203" s="442"/>
      <c r="ASC203" s="442"/>
      <c r="ASD203" s="442"/>
      <c r="ASE203" s="442"/>
      <c r="ASF203" s="442"/>
      <c r="ASG203" s="442"/>
      <c r="ASH203" s="442"/>
      <c r="ASI203" s="442"/>
      <c r="ASJ203" s="442"/>
      <c r="ASK203" s="442"/>
      <c r="ASL203" s="442"/>
      <c r="ASM203" s="442"/>
      <c r="ASN203" s="442"/>
      <c r="ASO203" s="442"/>
      <c r="ASP203" s="442"/>
      <c r="ASQ203" s="442"/>
      <c r="ASR203" s="442"/>
      <c r="ASS203" s="442"/>
      <c r="AST203" s="442"/>
      <c r="ASU203" s="442"/>
      <c r="ASV203" s="442"/>
      <c r="ASW203" s="442"/>
      <c r="ASX203" s="442"/>
      <c r="ASY203" s="442"/>
      <c r="ASZ203" s="442"/>
      <c r="ATA203" s="442"/>
      <c r="ATB203" s="442"/>
      <c r="ATC203" s="442"/>
      <c r="ATD203" s="442"/>
      <c r="ATE203" s="442"/>
      <c r="ATF203" s="442"/>
      <c r="ATG203" s="442"/>
      <c r="ATH203" s="442"/>
      <c r="ATI203" s="442"/>
      <c r="ATJ203" s="442"/>
      <c r="ATK203" s="442"/>
      <c r="ATL203" s="442"/>
      <c r="ATM203" s="442"/>
      <c r="ATN203" s="442"/>
      <c r="ATO203" s="442"/>
      <c r="ATP203" s="442"/>
      <c r="ATQ203" s="442"/>
      <c r="ATR203" s="442"/>
      <c r="ATS203" s="442"/>
      <c r="ATT203" s="442"/>
      <c r="ATU203" s="442"/>
      <c r="ATV203" s="442"/>
      <c r="ATW203" s="442"/>
      <c r="ATX203" s="442"/>
      <c r="ATY203" s="442"/>
      <c r="ATZ203" s="442"/>
      <c r="AUA203" s="442"/>
      <c r="AUB203" s="442"/>
      <c r="AUC203" s="442"/>
      <c r="AUD203" s="442"/>
      <c r="AUE203" s="442"/>
      <c r="AUF203" s="442"/>
      <c r="AUG203" s="442"/>
    </row>
    <row r="204" spans="1:1229" x14ac:dyDescent="0.3">
      <c r="A204" s="326" t="s">
        <v>2</v>
      </c>
      <c r="B204" s="326" t="s">
        <v>144</v>
      </c>
      <c r="C204" s="338" t="s">
        <v>179</v>
      </c>
      <c r="D204" s="339"/>
      <c r="E204" s="341" t="s">
        <v>146</v>
      </c>
      <c r="F204" s="12"/>
      <c r="G204" s="12"/>
      <c r="H204" s="12"/>
      <c r="I204" s="12"/>
      <c r="J204" s="12"/>
    </row>
    <row r="205" spans="1:1229" x14ac:dyDescent="0.3">
      <c r="A205" s="322" t="s">
        <v>65</v>
      </c>
      <c r="B205" s="142"/>
      <c r="C205" s="269"/>
      <c r="D205" s="96"/>
      <c r="E205" s="600" t="s">
        <v>180</v>
      </c>
      <c r="F205" s="12"/>
      <c r="G205" s="12"/>
      <c r="H205" s="12"/>
      <c r="I205" s="12"/>
      <c r="J205" s="12"/>
    </row>
    <row r="206" spans="1:1229" ht="17.25" customHeight="1" x14ac:dyDescent="0.3">
      <c r="A206" s="142"/>
      <c r="B206" s="142" t="str">
        <f>Cirkuleringsgreb!C6</f>
        <v>Genbrug</v>
      </c>
      <c r="C206" s="270">
        <v>0.95</v>
      </c>
      <c r="D206" s="319">
        <v>1</v>
      </c>
      <c r="E206" s="600"/>
      <c r="F206" s="12"/>
      <c r="G206" s="12"/>
      <c r="H206" s="12"/>
      <c r="I206" s="12"/>
      <c r="J206" s="12"/>
    </row>
    <row r="207" spans="1:1229" x14ac:dyDescent="0.3">
      <c r="A207" s="142"/>
      <c r="B207" s="142" t="str">
        <f>Cirkuleringsgreb!C7</f>
        <v>Upcycling</v>
      </c>
      <c r="C207" s="270">
        <v>0.3</v>
      </c>
      <c r="D207" s="319">
        <v>0.7</v>
      </c>
      <c r="E207" s="600"/>
      <c r="F207" s="12"/>
      <c r="G207" s="12"/>
      <c r="H207" s="12"/>
      <c r="I207" s="12"/>
      <c r="J207" s="12"/>
    </row>
    <row r="208" spans="1:1229" ht="121.5" customHeight="1" x14ac:dyDescent="0.3">
      <c r="A208" s="285"/>
      <c r="B208" s="285" t="str">
        <f>Cirkuleringsgreb!C8</f>
        <v>Downcycling</v>
      </c>
      <c r="C208" s="331">
        <v>0.1</v>
      </c>
      <c r="D208" s="332">
        <v>0.95</v>
      </c>
      <c r="E208" s="601"/>
      <c r="F208" s="12"/>
      <c r="G208" s="12"/>
      <c r="H208" s="12"/>
      <c r="I208" s="12"/>
      <c r="J208" s="12"/>
    </row>
    <row r="209" spans="1:10" ht="38.25" customHeight="1" x14ac:dyDescent="0.3">
      <c r="A209" s="334" t="s">
        <v>21</v>
      </c>
      <c r="B209" s="334"/>
      <c r="C209" s="343"/>
      <c r="D209" s="333"/>
      <c r="E209" s="602" t="s">
        <v>181</v>
      </c>
      <c r="F209" s="12"/>
      <c r="G209" s="12"/>
      <c r="H209" s="12"/>
      <c r="I209" s="12"/>
      <c r="J209" s="12"/>
    </row>
    <row r="210" spans="1:10" ht="16.5" customHeight="1" x14ac:dyDescent="0.3">
      <c r="A210" s="145"/>
      <c r="B210" s="145" t="str">
        <f>B206</f>
        <v>Genbrug</v>
      </c>
      <c r="C210" s="271">
        <v>0.95</v>
      </c>
      <c r="D210" s="320">
        <v>1</v>
      </c>
      <c r="E210" s="603"/>
      <c r="F210" s="12"/>
      <c r="G210" s="12"/>
      <c r="H210" s="12"/>
      <c r="I210" s="12"/>
      <c r="J210" s="12"/>
    </row>
    <row r="211" spans="1:10" ht="18" customHeight="1" x14ac:dyDescent="0.3">
      <c r="A211" s="145"/>
      <c r="B211" s="145" t="str">
        <f>B207</f>
        <v>Upcycling</v>
      </c>
      <c r="C211" s="271">
        <v>0.85</v>
      </c>
      <c r="D211" s="320">
        <v>0.95</v>
      </c>
      <c r="E211" s="603"/>
      <c r="F211" s="12"/>
      <c r="G211" s="12"/>
      <c r="H211" s="12"/>
      <c r="I211" s="12"/>
      <c r="J211" s="12"/>
    </row>
    <row r="212" spans="1:10" ht="75" customHeight="1" x14ac:dyDescent="0.3">
      <c r="A212" s="148"/>
      <c r="B212" s="148" t="str">
        <f>B208</f>
        <v>Downcycling</v>
      </c>
      <c r="C212" s="272">
        <v>0.95</v>
      </c>
      <c r="D212" s="321">
        <v>1</v>
      </c>
      <c r="E212" s="604"/>
      <c r="F212" s="12"/>
      <c r="G212" s="12"/>
      <c r="H212" s="12"/>
      <c r="I212" s="12"/>
      <c r="J212" s="12"/>
    </row>
    <row r="213" spans="1:10" x14ac:dyDescent="0.3">
      <c r="A213" s="345" t="s">
        <v>25</v>
      </c>
      <c r="B213" s="345"/>
      <c r="C213" s="346"/>
      <c r="D213" s="347"/>
      <c r="E213" s="596" t="s">
        <v>180</v>
      </c>
      <c r="F213" s="12"/>
      <c r="G213" s="12"/>
      <c r="H213" s="12"/>
      <c r="I213" s="12"/>
      <c r="J213" s="12"/>
    </row>
    <row r="214" spans="1:10" ht="33" x14ac:dyDescent="0.3">
      <c r="A214" s="142" t="s">
        <v>182</v>
      </c>
      <c r="B214" s="142"/>
      <c r="C214" s="270"/>
      <c r="D214" s="319"/>
      <c r="E214" s="597"/>
      <c r="F214" s="12"/>
      <c r="G214" s="12"/>
      <c r="H214" s="12"/>
      <c r="I214" s="12"/>
      <c r="J214" s="12"/>
    </row>
    <row r="215" spans="1:10" ht="19.5" customHeight="1" x14ac:dyDescent="0.3">
      <c r="A215" s="142"/>
      <c r="B215" s="142" t="str">
        <f>B210</f>
        <v>Genbrug</v>
      </c>
      <c r="C215" s="270">
        <v>0.76</v>
      </c>
      <c r="D215" s="319">
        <v>0.8</v>
      </c>
      <c r="E215" s="597"/>
      <c r="F215" s="12"/>
      <c r="G215" s="12"/>
      <c r="H215" s="12"/>
      <c r="I215" s="12"/>
      <c r="J215" s="12"/>
    </row>
    <row r="216" spans="1:10" x14ac:dyDescent="0.3">
      <c r="A216" s="142"/>
      <c r="B216" s="142" t="str">
        <f>B211</f>
        <v>Upcycling</v>
      </c>
      <c r="C216" s="270">
        <v>0.34</v>
      </c>
      <c r="D216" s="319">
        <v>0.72</v>
      </c>
      <c r="E216" s="597"/>
      <c r="F216" s="12"/>
      <c r="G216" s="12"/>
      <c r="H216" s="12"/>
      <c r="I216" s="12"/>
      <c r="J216" s="12"/>
    </row>
    <row r="217" spans="1:10" x14ac:dyDescent="0.3">
      <c r="A217" s="142"/>
      <c r="B217" s="142" t="str">
        <f>B212</f>
        <v>Downcycling</v>
      </c>
      <c r="C217" s="270">
        <v>0.1</v>
      </c>
      <c r="D217" s="319">
        <v>0.95</v>
      </c>
      <c r="E217" s="597"/>
      <c r="F217" s="12"/>
      <c r="G217" s="12"/>
      <c r="H217" s="12"/>
      <c r="I217" s="12"/>
      <c r="J217" s="12"/>
    </row>
    <row r="218" spans="1:10" x14ac:dyDescent="0.3">
      <c r="A218" s="142"/>
      <c r="B218" s="142"/>
      <c r="C218" s="270"/>
      <c r="D218" s="319"/>
      <c r="E218" s="597"/>
      <c r="F218" s="12"/>
      <c r="G218" s="12"/>
      <c r="H218" s="12"/>
      <c r="I218" s="12"/>
      <c r="J218" s="12"/>
    </row>
    <row r="219" spans="1:10" x14ac:dyDescent="0.3">
      <c r="A219" s="142"/>
      <c r="B219" s="142"/>
      <c r="C219" s="270"/>
      <c r="D219" s="319"/>
      <c r="E219" s="597"/>
      <c r="F219" s="12"/>
      <c r="G219" s="12"/>
      <c r="H219" s="12"/>
      <c r="I219" s="12"/>
      <c r="J219" s="12"/>
    </row>
    <row r="220" spans="1:10" x14ac:dyDescent="0.3">
      <c r="A220" s="142"/>
      <c r="B220" s="142"/>
      <c r="C220" s="270"/>
      <c r="D220" s="319"/>
      <c r="E220" s="597"/>
      <c r="F220" s="12"/>
      <c r="G220" s="12"/>
      <c r="H220" s="12"/>
      <c r="I220" s="12"/>
      <c r="J220" s="12"/>
    </row>
    <row r="221" spans="1:10" ht="13.5" customHeight="1" x14ac:dyDescent="0.3">
      <c r="A221" s="349"/>
      <c r="B221" s="349"/>
      <c r="C221" s="350"/>
      <c r="D221" s="351"/>
      <c r="E221" s="598"/>
      <c r="F221" s="12"/>
      <c r="G221" s="12"/>
      <c r="H221" s="12"/>
      <c r="I221" s="12"/>
      <c r="J221" s="12"/>
    </row>
    <row r="222" spans="1:10" ht="22.5" hidden="1" x14ac:dyDescent="0.3">
      <c r="A222" s="357" t="s">
        <v>113</v>
      </c>
      <c r="B222" s="353"/>
      <c r="C222" s="353"/>
      <c r="D222" s="354"/>
      <c r="E222" s="354"/>
      <c r="F222" s="12"/>
      <c r="G222" s="12"/>
      <c r="H222" s="12"/>
      <c r="I222" s="12"/>
      <c r="J222" s="12"/>
    </row>
    <row r="223" spans="1:10" hidden="1" x14ac:dyDescent="0.3">
      <c r="A223" s="326" t="s">
        <v>2</v>
      </c>
      <c r="B223" s="326" t="s">
        <v>144</v>
      </c>
      <c r="C223" s="338" t="s">
        <v>179</v>
      </c>
      <c r="D223" s="339"/>
      <c r="E223" s="341" t="s">
        <v>146</v>
      </c>
      <c r="F223" s="12"/>
      <c r="G223" s="12"/>
      <c r="H223" s="12"/>
      <c r="I223" s="12"/>
      <c r="J223" s="12"/>
    </row>
    <row r="224" spans="1:10" hidden="1" x14ac:dyDescent="0.3">
      <c r="A224" s="268" t="s">
        <v>114</v>
      </c>
      <c r="B224" s="287"/>
      <c r="C224" s="336" t="s">
        <v>46</v>
      </c>
      <c r="D224" s="337"/>
      <c r="E224" s="287" t="s">
        <v>148</v>
      </c>
      <c r="F224" s="12"/>
      <c r="G224" s="12"/>
      <c r="H224" s="12"/>
      <c r="I224" s="12"/>
      <c r="J224" s="12"/>
    </row>
    <row r="225" spans="1:13" hidden="1" x14ac:dyDescent="0.3">
      <c r="A225" s="145"/>
      <c r="B225" s="145" t="str">
        <f>B165</f>
        <v>Genbrug på matriklen</v>
      </c>
      <c r="C225" s="271">
        <v>0.95</v>
      </c>
      <c r="D225" s="320">
        <v>1</v>
      </c>
      <c r="E225" s="147"/>
      <c r="F225" s="12"/>
      <c r="G225" s="12"/>
      <c r="H225" s="12"/>
      <c r="I225" s="12"/>
      <c r="J225" s="12"/>
    </row>
    <row r="226" spans="1:13" hidden="1" x14ac:dyDescent="0.3">
      <c r="A226" s="145"/>
      <c r="B226" s="145" t="str">
        <f>B170</f>
        <v>Genbrug eller genanvendelse udenfor matriklen</v>
      </c>
      <c r="C226" s="271">
        <v>0.95</v>
      </c>
      <c r="D226" s="320">
        <v>1</v>
      </c>
      <c r="E226" s="147"/>
      <c r="F226" s="12"/>
      <c r="G226" s="12"/>
      <c r="H226" s="12"/>
      <c r="I226" s="12"/>
      <c r="J226" s="12"/>
    </row>
    <row r="227" spans="1:13" hidden="1" x14ac:dyDescent="0.3">
      <c r="A227" s="148"/>
      <c r="B227" s="148" t="str">
        <f>B171</f>
        <v>Deponi</v>
      </c>
      <c r="C227" s="272">
        <v>0</v>
      </c>
      <c r="D227" s="321">
        <v>0.05</v>
      </c>
      <c r="E227" s="342"/>
      <c r="F227" s="12"/>
      <c r="G227" s="12"/>
      <c r="H227" s="12"/>
      <c r="I227" s="12"/>
      <c r="J227" s="12"/>
    </row>
    <row r="228" spans="1:13" hidden="1" x14ac:dyDescent="0.3">
      <c r="A228" s="345" t="s">
        <v>131</v>
      </c>
      <c r="B228" s="345"/>
      <c r="C228" s="346"/>
      <c r="D228" s="347"/>
      <c r="E228" s="348"/>
      <c r="F228" s="12"/>
      <c r="G228" s="12"/>
      <c r="H228" s="12"/>
      <c r="I228" s="12"/>
      <c r="J228" s="12"/>
    </row>
    <row r="229" spans="1:13" hidden="1" x14ac:dyDescent="0.3">
      <c r="A229" s="142"/>
      <c r="B229" s="142" t="str">
        <f>Cirkuleringsgreb!M15</f>
        <v>Genbrug</v>
      </c>
      <c r="C229" s="270">
        <v>0.95</v>
      </c>
      <c r="D229" s="319">
        <v>1</v>
      </c>
      <c r="E229" s="142" t="s">
        <v>148</v>
      </c>
      <c r="F229" s="12"/>
      <c r="G229" s="12"/>
      <c r="H229" s="12"/>
      <c r="I229" s="12"/>
      <c r="J229" s="12"/>
    </row>
    <row r="230" spans="1:13" hidden="1" x14ac:dyDescent="0.3">
      <c r="A230" s="142"/>
      <c r="B230" s="142" t="str">
        <f>Cirkuleringsgreb!M16</f>
        <v>Genanvendelse, til erstatning af ny asfalt</v>
      </c>
      <c r="C230" s="270">
        <v>0.6</v>
      </c>
      <c r="D230" s="319">
        <v>1</v>
      </c>
      <c r="E230" s="144"/>
      <c r="F230" s="12"/>
      <c r="G230" s="12"/>
      <c r="H230" s="12"/>
      <c r="I230" s="12"/>
      <c r="J230" s="12"/>
    </row>
    <row r="231" spans="1:13" hidden="1" x14ac:dyDescent="0.3">
      <c r="A231" s="142"/>
      <c r="B231" s="142" t="str">
        <f>Cirkuleringsgreb!M17</f>
        <v>Downcycling, til erstatning af andre materialer</v>
      </c>
      <c r="C231" s="270">
        <v>0.25</v>
      </c>
      <c r="D231" s="319">
        <v>1</v>
      </c>
      <c r="E231" s="144"/>
      <c r="F231" s="12"/>
      <c r="G231" s="12"/>
      <c r="H231" s="12"/>
      <c r="I231" s="12"/>
      <c r="J231" s="12"/>
    </row>
    <row r="232" spans="1:13" hidden="1" x14ac:dyDescent="0.3">
      <c r="A232" s="285"/>
      <c r="B232" s="285"/>
      <c r="C232" s="331"/>
      <c r="D232" s="332"/>
      <c r="E232" s="329"/>
      <c r="F232" s="12"/>
      <c r="G232" s="12"/>
      <c r="H232" s="12"/>
      <c r="I232" s="12"/>
      <c r="J232" s="12"/>
    </row>
    <row r="233" spans="1:13" hidden="1" x14ac:dyDescent="0.3">
      <c r="A233" s="334" t="s">
        <v>137</v>
      </c>
      <c r="B233" s="334"/>
      <c r="C233" s="343"/>
      <c r="D233" s="333"/>
      <c r="E233" s="344"/>
      <c r="F233" s="12"/>
      <c r="G233" s="12"/>
      <c r="H233" s="12"/>
      <c r="I233" s="12"/>
      <c r="J233" s="12"/>
    </row>
    <row r="234" spans="1:13" hidden="1" x14ac:dyDescent="0.3">
      <c r="A234" s="145"/>
      <c r="B234" s="145" t="str">
        <f>Cirkuleringsgreb!W15</f>
        <v>Genbrug</v>
      </c>
      <c r="C234" s="271">
        <v>0.8</v>
      </c>
      <c r="D234" s="320">
        <v>1</v>
      </c>
      <c r="E234" s="145" t="s">
        <v>148</v>
      </c>
      <c r="F234" s="12"/>
      <c r="G234" s="12"/>
      <c r="H234" s="12"/>
      <c r="I234" s="12"/>
      <c r="J234" s="12"/>
    </row>
    <row r="235" spans="1:13" hidden="1" x14ac:dyDescent="0.3">
      <c r="A235" s="145"/>
      <c r="B235" s="145" t="str">
        <f>Cirkuleringsgreb!W16</f>
        <v>Upcycling</v>
      </c>
      <c r="C235" s="271">
        <v>0.45</v>
      </c>
      <c r="D235" s="320">
        <v>1</v>
      </c>
      <c r="E235" s="147"/>
      <c r="F235" s="12"/>
      <c r="G235" s="12"/>
      <c r="H235" s="12"/>
      <c r="I235" s="12"/>
      <c r="J235" s="12"/>
    </row>
    <row r="236" spans="1:13" hidden="1" x14ac:dyDescent="0.3">
      <c r="A236" s="148"/>
      <c r="B236" s="148" t="str">
        <f>Cirkuleringsgreb!W17</f>
        <v>Downcycling</v>
      </c>
      <c r="C236" s="272">
        <v>0.45</v>
      </c>
      <c r="D236" s="321">
        <v>0.65</v>
      </c>
      <c r="E236" s="342"/>
      <c r="F236" s="12"/>
      <c r="G236" s="12"/>
      <c r="H236" s="12"/>
      <c r="I236" s="12"/>
      <c r="J236" s="12"/>
    </row>
    <row r="237" spans="1:13" x14ac:dyDescent="0.3">
      <c r="A237" s="88"/>
      <c r="B237" s="88"/>
      <c r="C237" s="139"/>
      <c r="D237" s="140"/>
      <c r="E237" s="12"/>
      <c r="F237" s="12"/>
      <c r="G237" s="12"/>
      <c r="H237" s="12"/>
      <c r="I237" s="12"/>
      <c r="J237" s="12"/>
    </row>
    <row r="238" spans="1:13" x14ac:dyDescent="0.3">
      <c r="A238" s="88"/>
      <c r="B238" s="88"/>
      <c r="C238" s="139"/>
      <c r="D238" s="140"/>
      <c r="E238" s="12"/>
      <c r="F238" s="12"/>
      <c r="G238" s="12"/>
      <c r="H238" s="12"/>
      <c r="I238" s="12"/>
      <c r="J238" s="12"/>
    </row>
    <row r="239" spans="1:13" x14ac:dyDescent="0.3">
      <c r="A239" s="88"/>
      <c r="B239" s="88"/>
      <c r="C239" s="139"/>
      <c r="D239" s="140"/>
      <c r="E239" s="12"/>
      <c r="F239" s="12"/>
      <c r="G239" s="12"/>
      <c r="H239" s="12"/>
      <c r="I239" s="12"/>
      <c r="J239" s="12"/>
    </row>
    <row r="240" spans="1:13" x14ac:dyDescent="0.3">
      <c r="A240" s="88"/>
      <c r="B240" s="88"/>
      <c r="C240" s="88"/>
      <c r="D240" s="12"/>
      <c r="E240" s="12"/>
      <c r="F240" s="12"/>
      <c r="G240" s="12"/>
      <c r="H240" s="12"/>
      <c r="I240" s="12"/>
      <c r="J240" s="12"/>
      <c r="M240" s="140"/>
    </row>
    <row r="241" spans="1:13" x14ac:dyDescent="0.3">
      <c r="A241" s="88"/>
      <c r="B241" s="88"/>
      <c r="C241" s="88"/>
      <c r="D241" s="12"/>
      <c r="E241" s="12"/>
      <c r="F241" s="12"/>
      <c r="G241" s="12"/>
      <c r="H241" s="12"/>
      <c r="I241" s="12"/>
      <c r="J241" s="12"/>
      <c r="M241" s="140"/>
    </row>
    <row r="242" spans="1:13" x14ac:dyDescent="0.3">
      <c r="A242" s="88"/>
      <c r="B242" s="88"/>
      <c r="C242" s="88"/>
      <c r="D242" s="12"/>
      <c r="E242" s="12"/>
      <c r="F242" s="12"/>
      <c r="G242" s="12"/>
      <c r="H242" s="12"/>
      <c r="I242" s="12"/>
      <c r="J242" s="12"/>
    </row>
    <row r="243" spans="1:13" x14ac:dyDescent="0.3">
      <c r="A243" s="88"/>
      <c r="B243" s="88"/>
      <c r="C243" s="88"/>
      <c r="D243" s="12"/>
      <c r="E243" s="12"/>
      <c r="F243" s="12"/>
      <c r="G243" s="12"/>
      <c r="H243" s="12"/>
      <c r="I243" s="12"/>
      <c r="J243" s="12"/>
    </row>
    <row r="244" spans="1:13" ht="34.5" x14ac:dyDescent="0.3">
      <c r="A244" s="323" t="s">
        <v>183</v>
      </c>
      <c r="B244" s="115"/>
      <c r="C244" s="115"/>
      <c r="D244" s="116"/>
      <c r="E244" s="116"/>
      <c r="F244" s="116"/>
      <c r="G244" s="116"/>
      <c r="H244" s="116"/>
      <c r="I244" s="116"/>
      <c r="J244" s="116"/>
    </row>
    <row r="245" spans="1:13" ht="22.5" x14ac:dyDescent="0.3">
      <c r="A245" s="357" t="s">
        <v>178</v>
      </c>
      <c r="B245" s="353"/>
      <c r="C245" s="353"/>
      <c r="D245" s="354"/>
      <c r="E245" s="12"/>
      <c r="F245" s="12"/>
      <c r="G245" s="12"/>
      <c r="H245" s="12"/>
      <c r="I245" s="12"/>
      <c r="J245" s="12"/>
    </row>
    <row r="246" spans="1:13" x14ac:dyDescent="0.3">
      <c r="A246" s="326" t="s">
        <v>2</v>
      </c>
      <c r="B246" s="326" t="s">
        <v>144</v>
      </c>
      <c r="C246" s="327" t="s">
        <v>183</v>
      </c>
      <c r="D246" s="327" t="s">
        <v>146</v>
      </c>
      <c r="E246" s="12"/>
      <c r="F246" s="12"/>
      <c r="G246" s="12"/>
      <c r="H246" s="12"/>
      <c r="I246" s="12"/>
      <c r="J246" s="12"/>
    </row>
    <row r="247" spans="1:13" ht="24" customHeight="1" x14ac:dyDescent="0.3">
      <c r="A247" s="284" t="s">
        <v>65</v>
      </c>
      <c r="B247" s="284"/>
      <c r="C247" s="328"/>
      <c r="D247" s="600" t="s">
        <v>180</v>
      </c>
      <c r="E247" s="12"/>
      <c r="F247" s="12"/>
      <c r="G247" s="12"/>
      <c r="H247" s="12"/>
      <c r="I247" s="12"/>
      <c r="J247" s="12"/>
    </row>
    <row r="248" spans="1:13" x14ac:dyDescent="0.3">
      <c r="A248" s="142"/>
      <c r="B248" s="142" t="str">
        <f>B206</f>
        <v>Genbrug</v>
      </c>
      <c r="C248" s="144">
        <v>0.9</v>
      </c>
      <c r="D248" s="600"/>
      <c r="E248" s="12"/>
      <c r="F248" s="12"/>
      <c r="G248" s="12"/>
      <c r="H248" s="12"/>
      <c r="I248" s="12"/>
      <c r="J248" s="12"/>
    </row>
    <row r="249" spans="1:13" x14ac:dyDescent="0.3">
      <c r="A249" s="142"/>
      <c r="B249" s="142" t="str">
        <f>B207</f>
        <v>Upcycling</v>
      </c>
      <c r="C249" s="144">
        <v>0.7</v>
      </c>
      <c r="D249" s="600"/>
      <c r="E249" s="12"/>
      <c r="F249" s="12"/>
      <c r="G249" s="12"/>
      <c r="H249" s="12"/>
      <c r="I249" s="12"/>
      <c r="J249" s="12"/>
    </row>
    <row r="250" spans="1:13" x14ac:dyDescent="0.3">
      <c r="A250" s="285"/>
      <c r="B250" s="285" t="str">
        <f>B208</f>
        <v>Downcycling</v>
      </c>
      <c r="C250" s="329">
        <v>0.95</v>
      </c>
      <c r="D250" s="601"/>
      <c r="E250" s="12"/>
      <c r="F250" s="12"/>
      <c r="G250" s="12"/>
      <c r="H250" s="12"/>
      <c r="I250" s="12"/>
      <c r="J250" s="12"/>
    </row>
    <row r="251" spans="1:13" x14ac:dyDescent="0.3">
      <c r="A251" s="145" t="s">
        <v>21</v>
      </c>
      <c r="B251" s="145"/>
      <c r="C251" s="147"/>
      <c r="D251" s="145" t="s">
        <v>148</v>
      </c>
      <c r="E251" s="12"/>
      <c r="F251" s="12"/>
      <c r="G251" s="12"/>
      <c r="H251" s="12"/>
      <c r="I251" s="12"/>
      <c r="J251" s="12"/>
    </row>
    <row r="252" spans="1:13" x14ac:dyDescent="0.3">
      <c r="A252" s="145"/>
      <c r="B252" s="145" t="str">
        <f>B248</f>
        <v>Genbrug</v>
      </c>
      <c r="C252" s="147">
        <v>1</v>
      </c>
      <c r="D252" s="147"/>
      <c r="E252" s="12"/>
      <c r="F252" s="12"/>
      <c r="G252" s="12"/>
      <c r="H252" s="12"/>
      <c r="I252" s="12"/>
      <c r="J252" s="12"/>
    </row>
    <row r="253" spans="1:13" x14ac:dyDescent="0.3">
      <c r="A253" s="145"/>
      <c r="B253" s="145" t="str">
        <f>B249</f>
        <v>Upcycling</v>
      </c>
      <c r="C253" s="147">
        <v>0.85</v>
      </c>
      <c r="D253" s="147"/>
      <c r="E253" s="12"/>
      <c r="F253" s="12"/>
      <c r="G253" s="12"/>
      <c r="H253" s="12"/>
      <c r="I253" s="12"/>
      <c r="J253" s="12"/>
    </row>
    <row r="254" spans="1:13" x14ac:dyDescent="0.3">
      <c r="A254" s="145"/>
      <c r="B254" s="145" t="str">
        <f>B250</f>
        <v>Downcycling</v>
      </c>
      <c r="C254" s="147">
        <v>0.85</v>
      </c>
      <c r="D254" s="342"/>
      <c r="E254" s="12"/>
      <c r="F254" s="12"/>
      <c r="G254" s="12"/>
      <c r="H254" s="12"/>
      <c r="I254" s="12"/>
      <c r="J254" s="12"/>
    </row>
    <row r="255" spans="1:13" ht="19.5" customHeight="1" x14ac:dyDescent="0.3">
      <c r="A255" s="284" t="s">
        <v>25</v>
      </c>
      <c r="B255" s="284"/>
      <c r="C255" s="330"/>
      <c r="D255" s="599" t="s">
        <v>180</v>
      </c>
      <c r="E255" s="12"/>
      <c r="F255" s="12"/>
      <c r="G255" s="12"/>
      <c r="H255" s="12"/>
      <c r="I255" s="12"/>
      <c r="J255" s="12"/>
    </row>
    <row r="256" spans="1:13" x14ac:dyDescent="0.3">
      <c r="A256" s="142"/>
      <c r="B256" s="142"/>
      <c r="C256" s="144"/>
      <c r="D256" s="600"/>
      <c r="E256" s="12"/>
      <c r="F256" s="12"/>
      <c r="G256" s="12"/>
      <c r="H256" s="12"/>
      <c r="I256" s="12"/>
      <c r="J256" s="12"/>
    </row>
    <row r="257" spans="1:10" x14ac:dyDescent="0.3">
      <c r="A257" s="142"/>
      <c r="B257" s="142" t="str">
        <f>B252</f>
        <v>Genbrug</v>
      </c>
      <c r="C257" s="144">
        <v>0.9</v>
      </c>
      <c r="D257" s="600"/>
      <c r="E257" s="12"/>
      <c r="F257" s="12"/>
      <c r="G257" s="12"/>
      <c r="H257" s="12"/>
      <c r="I257" s="12"/>
      <c r="J257" s="12"/>
    </row>
    <row r="258" spans="1:10" x14ac:dyDescent="0.3">
      <c r="A258" s="142"/>
      <c r="B258" s="142" t="str">
        <f>B253</f>
        <v>Upcycling</v>
      </c>
      <c r="C258" s="144">
        <v>0.8</v>
      </c>
      <c r="D258" s="600"/>
      <c r="E258" s="12"/>
      <c r="F258" s="12"/>
      <c r="G258" s="12"/>
      <c r="H258" s="12"/>
      <c r="I258" s="12"/>
      <c r="J258" s="12"/>
    </row>
    <row r="259" spans="1:10" x14ac:dyDescent="0.3">
      <c r="A259" s="142"/>
      <c r="B259" s="142" t="str">
        <f>B254</f>
        <v>Downcycling</v>
      </c>
      <c r="C259" s="144">
        <v>0.95</v>
      </c>
      <c r="D259" s="600"/>
      <c r="E259" s="12"/>
      <c r="F259" s="12"/>
      <c r="G259" s="12"/>
      <c r="H259" s="12"/>
      <c r="I259" s="12"/>
      <c r="J259" s="12"/>
    </row>
    <row r="260" spans="1:10" x14ac:dyDescent="0.3">
      <c r="A260" s="142"/>
      <c r="B260" s="142"/>
      <c r="C260" s="144"/>
      <c r="D260" s="600"/>
      <c r="E260" s="12"/>
      <c r="F260" s="12"/>
      <c r="G260" s="12"/>
      <c r="H260" s="12"/>
      <c r="I260" s="12"/>
      <c r="J260" s="12"/>
    </row>
    <row r="261" spans="1:10" ht="12.95" customHeight="1" x14ac:dyDescent="0.3">
      <c r="A261" s="285"/>
      <c r="B261" s="285"/>
      <c r="C261" s="329"/>
      <c r="D261" s="601"/>
      <c r="E261" s="12"/>
      <c r="F261" s="12"/>
      <c r="G261" s="12"/>
      <c r="H261" s="12"/>
      <c r="I261" s="12"/>
      <c r="J261" s="12"/>
    </row>
    <row r="262" spans="1:10" ht="22.5" hidden="1" x14ac:dyDescent="0.3">
      <c r="A262" s="357" t="s">
        <v>113</v>
      </c>
      <c r="B262" s="353"/>
      <c r="C262" s="353"/>
      <c r="D262" s="354"/>
      <c r="E262" s="12"/>
      <c r="F262" s="12"/>
      <c r="G262" s="12"/>
      <c r="H262" s="12"/>
      <c r="I262" s="12"/>
      <c r="J262" s="12"/>
    </row>
    <row r="263" spans="1:10" hidden="1" x14ac:dyDescent="0.3">
      <c r="A263" s="326" t="s">
        <v>2</v>
      </c>
      <c r="B263" s="326" t="s">
        <v>144</v>
      </c>
      <c r="C263" s="327" t="s">
        <v>183</v>
      </c>
      <c r="D263" s="327" t="s">
        <v>146</v>
      </c>
      <c r="E263" s="12"/>
      <c r="F263" s="12"/>
      <c r="G263" s="12"/>
      <c r="H263" s="12"/>
      <c r="I263" s="12"/>
      <c r="J263" s="12"/>
    </row>
    <row r="264" spans="1:10" hidden="1" x14ac:dyDescent="0.3">
      <c r="A264" s="145" t="s">
        <v>114</v>
      </c>
      <c r="B264" s="145"/>
      <c r="C264" s="273" t="s">
        <v>46</v>
      </c>
      <c r="D264" s="145" t="s">
        <v>148</v>
      </c>
      <c r="E264" s="12"/>
      <c r="F264" s="12"/>
      <c r="G264" s="12"/>
      <c r="H264" s="12"/>
      <c r="I264" s="12"/>
      <c r="J264" s="12"/>
    </row>
    <row r="265" spans="1:10" hidden="1" x14ac:dyDescent="0.3">
      <c r="A265" s="145"/>
      <c r="B265" s="145" t="str">
        <f>B225</f>
        <v>Genbrug på matriklen</v>
      </c>
      <c r="C265" s="147">
        <v>1</v>
      </c>
      <c r="D265" s="147"/>
      <c r="E265" s="12"/>
      <c r="F265" s="12"/>
      <c r="G265" s="12"/>
      <c r="H265" s="12"/>
      <c r="I265" s="12"/>
      <c r="J265" s="12"/>
    </row>
    <row r="266" spans="1:10" hidden="1" x14ac:dyDescent="0.3">
      <c r="A266" s="145"/>
      <c r="B266" s="145" t="str">
        <f>B226</f>
        <v>Genbrug eller genanvendelse udenfor matriklen</v>
      </c>
      <c r="C266" s="147">
        <v>1</v>
      </c>
      <c r="D266" s="147"/>
      <c r="E266" s="12"/>
      <c r="F266" s="12"/>
      <c r="G266" s="12"/>
      <c r="H266" s="12"/>
      <c r="I266" s="12"/>
      <c r="J266" s="12"/>
    </row>
    <row r="267" spans="1:10" hidden="1" x14ac:dyDescent="0.3">
      <c r="A267" s="145"/>
      <c r="B267" s="145" t="str">
        <f>B227</f>
        <v>Deponi</v>
      </c>
      <c r="C267" s="147">
        <v>0</v>
      </c>
      <c r="D267" s="342"/>
      <c r="E267" s="12"/>
      <c r="F267" s="12"/>
      <c r="G267" s="12"/>
      <c r="H267" s="12"/>
      <c r="I267" s="12"/>
      <c r="J267" s="12"/>
    </row>
    <row r="268" spans="1:10" hidden="1" x14ac:dyDescent="0.3">
      <c r="A268" s="284" t="s">
        <v>131</v>
      </c>
      <c r="B268" s="284"/>
      <c r="C268" s="330"/>
      <c r="D268" s="142" t="s">
        <v>148</v>
      </c>
      <c r="E268" s="12"/>
      <c r="F268" s="12"/>
      <c r="G268" s="12"/>
      <c r="H268" s="12"/>
      <c r="I268" s="12"/>
      <c r="J268" s="12"/>
    </row>
    <row r="269" spans="1:10" hidden="1" x14ac:dyDescent="0.3">
      <c r="A269" s="142"/>
      <c r="B269" s="142" t="str">
        <f>B229</f>
        <v>Genbrug</v>
      </c>
      <c r="C269" s="144">
        <v>1</v>
      </c>
      <c r="D269" s="144"/>
      <c r="E269" s="12"/>
      <c r="F269" s="12"/>
      <c r="G269" s="12"/>
      <c r="H269" s="12"/>
      <c r="I269" s="12"/>
      <c r="J269" s="12"/>
    </row>
    <row r="270" spans="1:10" hidden="1" x14ac:dyDescent="0.3">
      <c r="A270" s="142"/>
      <c r="B270" s="142" t="str">
        <f>B230</f>
        <v>Genanvendelse, til erstatning af ny asfalt</v>
      </c>
      <c r="C270" s="144">
        <v>0.45</v>
      </c>
      <c r="D270" s="144"/>
      <c r="E270" s="12"/>
      <c r="F270" s="12"/>
      <c r="G270" s="12"/>
      <c r="H270" s="12"/>
      <c r="I270" s="12"/>
      <c r="J270" s="12"/>
    </row>
    <row r="271" spans="1:10" hidden="1" x14ac:dyDescent="0.3">
      <c r="A271" s="285"/>
      <c r="B271" s="285" t="str">
        <f>B231</f>
        <v>Downcycling, til erstatning af andre materialer</v>
      </c>
      <c r="C271" s="329">
        <v>0.45</v>
      </c>
      <c r="D271" s="329"/>
      <c r="E271" s="12"/>
      <c r="F271" s="12"/>
      <c r="G271" s="12"/>
      <c r="H271" s="12"/>
      <c r="I271" s="12"/>
      <c r="J271" s="12"/>
    </row>
    <row r="272" spans="1:10" hidden="1" x14ac:dyDescent="0.3">
      <c r="A272" s="145" t="s">
        <v>137</v>
      </c>
      <c r="B272" s="145"/>
      <c r="C272" s="147"/>
      <c r="D272" s="145" t="s">
        <v>148</v>
      </c>
      <c r="E272" s="12"/>
      <c r="F272" s="12"/>
      <c r="G272" s="12"/>
      <c r="H272" s="12"/>
      <c r="I272" s="12"/>
      <c r="J272" s="12"/>
    </row>
    <row r="273" spans="1:10" hidden="1" x14ac:dyDescent="0.3">
      <c r="A273" s="145"/>
      <c r="B273" s="145"/>
      <c r="C273" s="147"/>
      <c r="D273" s="147"/>
      <c r="E273" s="12"/>
      <c r="F273" s="12"/>
      <c r="G273" s="12"/>
      <c r="H273" s="12"/>
      <c r="I273" s="12"/>
      <c r="J273" s="12"/>
    </row>
    <row r="274" spans="1:10" hidden="1" x14ac:dyDescent="0.3">
      <c r="A274" s="145"/>
      <c r="B274" s="145" t="str">
        <f>B234</f>
        <v>Genbrug</v>
      </c>
      <c r="C274" s="147">
        <v>1</v>
      </c>
      <c r="D274" s="147"/>
      <c r="E274" s="12"/>
      <c r="F274" s="12"/>
      <c r="G274" s="12"/>
      <c r="H274" s="12"/>
      <c r="I274" s="12"/>
      <c r="J274" s="12"/>
    </row>
    <row r="275" spans="1:10" hidden="1" x14ac:dyDescent="0.3">
      <c r="A275" s="145"/>
      <c r="B275" s="145" t="str">
        <f>B235</f>
        <v>Upcycling</v>
      </c>
      <c r="C275" s="147">
        <v>0.45</v>
      </c>
      <c r="D275" s="147"/>
      <c r="E275" s="12"/>
      <c r="F275" s="12"/>
      <c r="G275" s="12"/>
      <c r="H275" s="12"/>
      <c r="I275" s="12"/>
      <c r="J275" s="12"/>
    </row>
    <row r="276" spans="1:10" hidden="1" x14ac:dyDescent="0.3">
      <c r="A276" s="145"/>
      <c r="B276" s="145" t="str">
        <f>B236</f>
        <v>Downcycling</v>
      </c>
      <c r="C276" s="147">
        <v>0.45</v>
      </c>
      <c r="D276" s="147"/>
      <c r="E276" s="12"/>
      <c r="F276" s="12"/>
      <c r="G276" s="12"/>
      <c r="H276" s="12"/>
      <c r="I276" s="12"/>
      <c r="J276" s="12"/>
    </row>
    <row r="277" spans="1:10" hidden="1" x14ac:dyDescent="0.3">
      <c r="A277" s="148"/>
      <c r="B277" s="148"/>
      <c r="C277" s="148"/>
      <c r="D277" s="148"/>
      <c r="E277" s="12"/>
      <c r="F277" s="12"/>
      <c r="G277" s="12"/>
      <c r="H277" s="12"/>
      <c r="I277" s="12"/>
      <c r="J277" s="12"/>
    </row>
    <row r="278" spans="1:10" x14ac:dyDescent="0.3">
      <c r="A278" s="88"/>
      <c r="B278" s="88"/>
      <c r="C278" s="88"/>
      <c r="D278" s="12"/>
      <c r="E278" s="12"/>
      <c r="F278" s="12"/>
      <c r="G278" s="12"/>
      <c r="H278" s="12"/>
      <c r="I278" s="12"/>
      <c r="J278" s="12"/>
    </row>
    <row r="279" spans="1:10" x14ac:dyDescent="0.3">
      <c r="A279" s="88"/>
      <c r="B279" s="88"/>
      <c r="C279" s="88"/>
      <c r="D279" s="12"/>
      <c r="E279" s="12"/>
      <c r="F279" s="12"/>
      <c r="G279" s="12"/>
      <c r="H279" s="12"/>
      <c r="I279" s="12"/>
      <c r="J279" s="12"/>
    </row>
    <row r="280" spans="1:10" x14ac:dyDescent="0.3">
      <c r="A280" s="88"/>
      <c r="B280" s="88"/>
      <c r="C280" s="88"/>
      <c r="D280" s="12"/>
      <c r="E280" s="12"/>
      <c r="F280" s="12"/>
      <c r="G280" s="12"/>
      <c r="H280" s="12"/>
      <c r="I280" s="12"/>
      <c r="J280" s="12"/>
    </row>
    <row r="281" spans="1:10" x14ac:dyDescent="0.3">
      <c r="A281" s="88"/>
      <c r="B281" s="88"/>
      <c r="C281" s="88"/>
      <c r="D281" s="12"/>
      <c r="E281" s="12"/>
      <c r="F281" s="12"/>
      <c r="G281" s="12"/>
      <c r="H281" s="12"/>
      <c r="I281" s="12"/>
      <c r="J281" s="12"/>
    </row>
    <row r="282" spans="1:10" ht="34.5" x14ac:dyDescent="0.3">
      <c r="A282" s="316" t="s">
        <v>184</v>
      </c>
      <c r="B282" s="115"/>
      <c r="C282" s="115"/>
      <c r="D282" s="116"/>
      <c r="E282" s="116"/>
      <c r="F282" s="116"/>
      <c r="G282" s="116"/>
      <c r="H282" s="116"/>
      <c r="I282" s="116"/>
      <c r="J282" s="116"/>
    </row>
    <row r="283" spans="1:10" s="12" customFormat="1" ht="22.5" x14ac:dyDescent="0.3">
      <c r="A283" s="357" t="s">
        <v>178</v>
      </c>
      <c r="B283" s="353"/>
      <c r="C283" s="353"/>
      <c r="D283" s="354"/>
    </row>
    <row r="284" spans="1:10" x14ac:dyDescent="0.3">
      <c r="A284" s="352" t="s">
        <v>2</v>
      </c>
      <c r="B284" s="352" t="s">
        <v>144</v>
      </c>
      <c r="C284" s="352" t="s">
        <v>185</v>
      </c>
      <c r="D284" s="300" t="s">
        <v>146</v>
      </c>
      <c r="E284" s="141"/>
      <c r="F284" s="141"/>
      <c r="G284" s="12"/>
      <c r="H284" s="12"/>
      <c r="I284" s="12"/>
      <c r="J284" s="12"/>
    </row>
    <row r="285" spans="1:10" x14ac:dyDescent="0.3">
      <c r="A285" s="142" t="s">
        <v>65</v>
      </c>
      <c r="B285" s="142"/>
      <c r="C285" s="142"/>
      <c r="D285" s="143"/>
      <c r="E285" s="12"/>
      <c r="F285" s="12"/>
      <c r="G285" s="12"/>
      <c r="H285" s="12"/>
      <c r="I285" s="12"/>
      <c r="J285" s="12"/>
    </row>
    <row r="286" spans="1:10" x14ac:dyDescent="0.3">
      <c r="A286" s="142"/>
      <c r="B286" s="142" t="str">
        <f>Cirkuleringsgreb!C6</f>
        <v>Genbrug</v>
      </c>
      <c r="C286" s="144">
        <v>0.9</v>
      </c>
      <c r="D286" s="143"/>
      <c r="E286" s="12"/>
      <c r="F286" s="12"/>
      <c r="G286" s="12"/>
      <c r="H286" s="12"/>
      <c r="I286" s="12"/>
      <c r="J286" s="12"/>
    </row>
    <row r="287" spans="1:10" x14ac:dyDescent="0.3">
      <c r="A287" s="142"/>
      <c r="B287" s="142" t="str">
        <f>Cirkuleringsgreb!C7</f>
        <v>Upcycling</v>
      </c>
      <c r="C287" s="144">
        <v>0.7</v>
      </c>
      <c r="D287" s="143" t="s">
        <v>186</v>
      </c>
      <c r="E287" s="12"/>
      <c r="F287" s="12"/>
      <c r="G287" s="12"/>
      <c r="H287" s="12"/>
      <c r="I287" s="12"/>
      <c r="J287" s="12"/>
    </row>
    <row r="288" spans="1:10" x14ac:dyDescent="0.3">
      <c r="A288" s="142"/>
      <c r="B288" s="142" t="str">
        <f>Cirkuleringsgreb!C8</f>
        <v>Downcycling</v>
      </c>
      <c r="C288" s="144">
        <v>0.95</v>
      </c>
      <c r="D288" s="143" t="s">
        <v>187</v>
      </c>
      <c r="E288" s="12"/>
      <c r="F288" s="12"/>
      <c r="G288" s="12"/>
      <c r="H288" s="12"/>
      <c r="I288" s="12"/>
      <c r="J288" s="12"/>
    </row>
    <row r="289" spans="1:10" x14ac:dyDescent="0.3">
      <c r="A289" s="142"/>
      <c r="B289" s="142"/>
      <c r="C289" s="142"/>
      <c r="D289" s="143"/>
      <c r="E289" s="12"/>
      <c r="F289" s="12"/>
      <c r="G289" s="12"/>
      <c r="H289" s="12"/>
      <c r="I289" s="12"/>
      <c r="J289" s="12"/>
    </row>
    <row r="290" spans="1:10" x14ac:dyDescent="0.3">
      <c r="A290" s="145" t="s">
        <v>21</v>
      </c>
      <c r="B290" s="145"/>
      <c r="C290" s="145"/>
      <c r="D290" s="146"/>
      <c r="E290" s="12"/>
      <c r="F290" s="12"/>
      <c r="G290" s="12"/>
      <c r="H290" s="12"/>
      <c r="I290" s="12"/>
      <c r="J290" s="12"/>
    </row>
    <row r="291" spans="1:10" x14ac:dyDescent="0.3">
      <c r="A291" s="145"/>
      <c r="B291" s="145" t="str">
        <f>B286</f>
        <v>Genbrug</v>
      </c>
      <c r="C291" s="147">
        <v>1</v>
      </c>
      <c r="D291" s="146"/>
      <c r="E291" s="12"/>
      <c r="F291" s="12"/>
      <c r="G291" s="12"/>
      <c r="H291" s="12"/>
      <c r="I291" s="12"/>
      <c r="J291" s="12"/>
    </row>
    <row r="292" spans="1:10" x14ac:dyDescent="0.3">
      <c r="A292" s="145"/>
      <c r="B292" s="145" t="str">
        <f>B287</f>
        <v>Upcycling</v>
      </c>
      <c r="C292" s="147">
        <v>0.85</v>
      </c>
      <c r="D292" s="146" t="s">
        <v>188</v>
      </c>
      <c r="E292" s="12"/>
      <c r="F292" s="12"/>
      <c r="G292" s="12"/>
      <c r="H292" s="12"/>
      <c r="I292" s="12"/>
      <c r="J292" s="12"/>
    </row>
    <row r="293" spans="1:10" x14ac:dyDescent="0.3">
      <c r="A293" s="145"/>
      <c r="B293" s="145" t="str">
        <f>B288</f>
        <v>Downcycling</v>
      </c>
      <c r="C293" s="147">
        <v>0.85</v>
      </c>
      <c r="D293" s="146" t="s">
        <v>189</v>
      </c>
      <c r="E293" s="12"/>
      <c r="F293" s="12"/>
      <c r="G293" s="12"/>
      <c r="H293" s="12"/>
      <c r="I293" s="12"/>
      <c r="J293" s="12"/>
    </row>
    <row r="294" spans="1:10" x14ac:dyDescent="0.3">
      <c r="A294" s="145"/>
      <c r="B294" s="145"/>
      <c r="C294" s="145"/>
      <c r="D294" s="146"/>
      <c r="E294" s="12"/>
      <c r="F294" s="12"/>
      <c r="G294" s="12"/>
      <c r="H294" s="12"/>
      <c r="I294" s="12"/>
      <c r="J294" s="12"/>
    </row>
    <row r="295" spans="1:10" x14ac:dyDescent="0.3">
      <c r="A295" s="142" t="s">
        <v>25</v>
      </c>
      <c r="B295" s="142"/>
      <c r="C295" s="142"/>
      <c r="D295" s="143"/>
      <c r="E295" s="12"/>
      <c r="F295" s="12"/>
      <c r="G295" s="12"/>
      <c r="H295" s="12"/>
      <c r="I295" s="12"/>
      <c r="J295" s="12"/>
    </row>
    <row r="296" spans="1:10" x14ac:dyDescent="0.3">
      <c r="A296" s="142"/>
      <c r="B296" s="142" t="str">
        <f>B286</f>
        <v>Genbrug</v>
      </c>
      <c r="C296" s="144">
        <v>0.9</v>
      </c>
      <c r="D296" s="143"/>
      <c r="E296" s="12"/>
      <c r="F296" s="12"/>
      <c r="G296" s="12"/>
      <c r="H296" s="12"/>
      <c r="I296" s="12"/>
      <c r="J296" s="12"/>
    </row>
    <row r="297" spans="1:10" x14ac:dyDescent="0.3">
      <c r="A297" s="142"/>
      <c r="B297" s="142" t="str">
        <f>B287</f>
        <v>Upcycling</v>
      </c>
      <c r="C297" s="144">
        <v>0.8</v>
      </c>
      <c r="D297" s="143" t="s">
        <v>190</v>
      </c>
      <c r="E297" s="12"/>
      <c r="F297" s="12"/>
      <c r="G297" s="12"/>
      <c r="H297" s="12"/>
      <c r="I297" s="12"/>
      <c r="J297" s="12"/>
    </row>
    <row r="298" spans="1:10" x14ac:dyDescent="0.3">
      <c r="A298" s="142"/>
      <c r="B298" s="142" t="str">
        <f>B288</f>
        <v>Downcycling</v>
      </c>
      <c r="C298" s="144">
        <v>0.95</v>
      </c>
      <c r="D298" s="143" t="s">
        <v>187</v>
      </c>
      <c r="E298" s="12"/>
      <c r="F298" s="12"/>
      <c r="G298" s="12"/>
      <c r="H298" s="12"/>
      <c r="I298" s="12"/>
      <c r="J298" s="12"/>
    </row>
    <row r="299" spans="1:10" x14ac:dyDescent="0.3">
      <c r="A299" s="142"/>
      <c r="B299" s="142"/>
      <c r="C299" s="142"/>
      <c r="D299" s="143"/>
      <c r="E299" s="12"/>
      <c r="F299" s="12"/>
      <c r="G299" s="12"/>
      <c r="H299" s="12"/>
      <c r="I299" s="12"/>
      <c r="J299" s="12"/>
    </row>
    <row r="300" spans="1:10" x14ac:dyDescent="0.3">
      <c r="A300" s="142"/>
      <c r="B300" s="142"/>
      <c r="C300" s="142"/>
      <c r="D300" s="143"/>
      <c r="E300" s="12"/>
      <c r="F300" s="12"/>
      <c r="G300" s="12"/>
      <c r="H300" s="12"/>
      <c r="I300" s="12"/>
      <c r="J300" s="12"/>
    </row>
    <row r="301" spans="1:10" x14ac:dyDescent="0.3">
      <c r="A301" s="142"/>
      <c r="B301" s="142"/>
      <c r="C301" s="142"/>
      <c r="D301" s="143"/>
      <c r="E301" s="12"/>
      <c r="F301" s="12"/>
      <c r="G301" s="12"/>
      <c r="H301" s="12"/>
      <c r="I301" s="12"/>
      <c r="J301" s="12"/>
    </row>
    <row r="302" spans="1:10" ht="9.9499999999999993" customHeight="1" x14ac:dyDescent="0.3">
      <c r="A302" s="142"/>
      <c r="B302" s="142"/>
      <c r="C302" s="142"/>
      <c r="D302" s="143"/>
      <c r="E302" s="12"/>
      <c r="F302" s="12"/>
      <c r="G302" s="12"/>
      <c r="H302" s="12"/>
      <c r="I302" s="12"/>
      <c r="J302" s="12"/>
    </row>
    <row r="303" spans="1:10" ht="3" hidden="1" customHeight="1" x14ac:dyDescent="0.3">
      <c r="A303" s="357" t="s">
        <v>113</v>
      </c>
      <c r="B303" s="353"/>
      <c r="C303" s="353"/>
      <c r="D303" s="354"/>
      <c r="E303" s="12"/>
      <c r="F303" s="12"/>
      <c r="G303" s="12"/>
      <c r="H303" s="12"/>
      <c r="I303" s="12"/>
      <c r="J303" s="12"/>
    </row>
    <row r="304" spans="1:10" hidden="1" x14ac:dyDescent="0.3">
      <c r="A304" s="352" t="s">
        <v>2</v>
      </c>
      <c r="B304" s="352" t="s">
        <v>144</v>
      </c>
      <c r="C304" s="352" t="s">
        <v>185</v>
      </c>
      <c r="D304" s="300" t="s">
        <v>146</v>
      </c>
      <c r="E304" s="12"/>
      <c r="F304" s="12"/>
      <c r="G304" s="12"/>
      <c r="H304" s="12"/>
      <c r="I304" s="12"/>
      <c r="J304" s="12"/>
    </row>
    <row r="305" spans="1:10" hidden="1" x14ac:dyDescent="0.3">
      <c r="A305" s="145" t="s">
        <v>114</v>
      </c>
      <c r="B305" s="145"/>
      <c r="C305" s="145"/>
      <c r="D305" s="146"/>
      <c r="E305" s="12"/>
      <c r="F305" s="12"/>
      <c r="G305" s="12"/>
      <c r="H305" s="12"/>
      <c r="I305" s="12"/>
      <c r="J305" s="12"/>
    </row>
    <row r="306" spans="1:10" hidden="1" x14ac:dyDescent="0.3">
      <c r="A306" s="145"/>
      <c r="B306" s="145" t="str">
        <f>B265</f>
        <v>Genbrug på matriklen</v>
      </c>
      <c r="C306" s="147">
        <v>1</v>
      </c>
      <c r="D306" s="146"/>
      <c r="E306" s="12"/>
      <c r="F306" s="12"/>
      <c r="G306" s="12"/>
      <c r="H306" s="12"/>
      <c r="I306" s="12"/>
      <c r="J306" s="12"/>
    </row>
    <row r="307" spans="1:10" hidden="1" x14ac:dyDescent="0.3">
      <c r="A307" s="145"/>
      <c r="B307" s="145" t="str">
        <f>B266</f>
        <v>Genbrug eller genanvendelse udenfor matriklen</v>
      </c>
      <c r="C307" s="147">
        <v>1</v>
      </c>
      <c r="D307" s="146"/>
      <c r="E307" s="12"/>
      <c r="F307" s="12"/>
      <c r="G307" s="12"/>
      <c r="H307" s="12"/>
      <c r="I307" s="12"/>
      <c r="J307" s="12"/>
    </row>
    <row r="308" spans="1:10" hidden="1" x14ac:dyDescent="0.3">
      <c r="A308" s="145"/>
      <c r="B308" s="145" t="str">
        <f>B267</f>
        <v>Deponi</v>
      </c>
      <c r="C308" s="147">
        <v>0</v>
      </c>
      <c r="D308" s="146"/>
      <c r="E308" s="12"/>
      <c r="F308" s="12"/>
      <c r="G308" s="12"/>
      <c r="H308" s="12"/>
      <c r="I308" s="12"/>
      <c r="J308" s="12"/>
    </row>
    <row r="309" spans="1:10" hidden="1" x14ac:dyDescent="0.3">
      <c r="A309" s="145"/>
      <c r="B309" s="145"/>
      <c r="C309" s="147"/>
      <c r="D309" s="146"/>
      <c r="E309" s="12"/>
      <c r="F309" s="12"/>
      <c r="G309" s="12"/>
      <c r="H309" s="12"/>
      <c r="I309" s="12"/>
      <c r="J309" s="12"/>
    </row>
    <row r="310" spans="1:10" hidden="1" x14ac:dyDescent="0.3">
      <c r="A310" s="142" t="s">
        <v>131</v>
      </c>
      <c r="B310" s="142"/>
      <c r="C310" s="144"/>
      <c r="D310" s="143"/>
      <c r="E310" s="12"/>
      <c r="F310" s="12"/>
      <c r="G310" s="12"/>
      <c r="H310" s="12"/>
      <c r="I310" s="12"/>
      <c r="J310" s="12"/>
    </row>
    <row r="311" spans="1:10" hidden="1" x14ac:dyDescent="0.3">
      <c r="A311" s="142"/>
      <c r="B311" s="142" t="str">
        <f>B269</f>
        <v>Genbrug</v>
      </c>
      <c r="C311" s="144">
        <v>1</v>
      </c>
      <c r="D311" s="143"/>
      <c r="E311" s="12"/>
      <c r="F311" s="12"/>
      <c r="G311" s="12"/>
      <c r="H311" s="12"/>
      <c r="I311" s="12"/>
      <c r="J311" s="12"/>
    </row>
    <row r="312" spans="1:10" hidden="1" x14ac:dyDescent="0.3">
      <c r="A312" s="142"/>
      <c r="B312" s="142" t="str">
        <f>B270</f>
        <v>Genanvendelse, til erstatning af ny asfalt</v>
      </c>
      <c r="C312" s="144">
        <v>0.45</v>
      </c>
      <c r="D312" s="143"/>
      <c r="E312" s="12"/>
      <c r="F312" s="12"/>
      <c r="G312" s="12"/>
      <c r="H312" s="12"/>
      <c r="I312" s="12"/>
      <c r="J312" s="12"/>
    </row>
    <row r="313" spans="1:10" hidden="1" x14ac:dyDescent="0.3">
      <c r="A313" s="142"/>
      <c r="B313" s="142" t="str">
        <f>B271</f>
        <v>Downcycling, til erstatning af andre materialer</v>
      </c>
      <c r="C313" s="144">
        <v>0.45</v>
      </c>
      <c r="D313" s="143"/>
      <c r="E313" s="12"/>
      <c r="F313" s="12"/>
      <c r="G313" s="12"/>
      <c r="H313" s="12"/>
      <c r="I313" s="12"/>
      <c r="J313" s="12"/>
    </row>
    <row r="314" spans="1:10" hidden="1" x14ac:dyDescent="0.3">
      <c r="A314" s="142"/>
      <c r="B314" s="142"/>
      <c r="C314" s="144"/>
      <c r="D314" s="143"/>
      <c r="E314" s="12"/>
      <c r="F314" s="12"/>
      <c r="G314" s="12"/>
      <c r="H314" s="12"/>
      <c r="I314" s="12"/>
      <c r="J314" s="12"/>
    </row>
    <row r="315" spans="1:10" hidden="1" x14ac:dyDescent="0.3">
      <c r="A315" s="145" t="s">
        <v>137</v>
      </c>
      <c r="B315" s="145"/>
      <c r="C315" s="147"/>
      <c r="D315" s="146"/>
      <c r="E315" s="12"/>
      <c r="F315" s="12"/>
      <c r="G315" s="12"/>
      <c r="H315" s="12"/>
      <c r="I315" s="12"/>
      <c r="J315" s="12"/>
    </row>
    <row r="316" spans="1:10" hidden="1" x14ac:dyDescent="0.3">
      <c r="A316" s="145"/>
      <c r="B316" s="145" t="str">
        <f>B274</f>
        <v>Genbrug</v>
      </c>
      <c r="C316" s="147">
        <v>1</v>
      </c>
      <c r="D316" s="146"/>
      <c r="E316" s="12"/>
      <c r="F316" s="12"/>
      <c r="G316" s="12"/>
      <c r="H316" s="12"/>
      <c r="I316" s="12"/>
      <c r="J316" s="12"/>
    </row>
    <row r="317" spans="1:10" hidden="1" x14ac:dyDescent="0.3">
      <c r="A317" s="145"/>
      <c r="B317" s="145" t="str">
        <f>B275</f>
        <v>Upcycling</v>
      </c>
      <c r="C317" s="147">
        <v>0.45</v>
      </c>
      <c r="D317" s="146"/>
      <c r="E317" s="12"/>
      <c r="F317" s="12"/>
      <c r="G317" s="12"/>
      <c r="H317" s="12"/>
      <c r="I317" s="12"/>
      <c r="J317" s="12"/>
    </row>
    <row r="318" spans="1:10" hidden="1" x14ac:dyDescent="0.3">
      <c r="A318" s="145"/>
      <c r="B318" s="145" t="str">
        <f>B276</f>
        <v>Downcycling</v>
      </c>
      <c r="C318" s="147">
        <v>0.45</v>
      </c>
      <c r="D318" s="146"/>
      <c r="E318" s="12"/>
      <c r="F318" s="12"/>
      <c r="G318" s="12"/>
      <c r="H318" s="12"/>
      <c r="I318" s="12"/>
      <c r="J318" s="12"/>
    </row>
    <row r="319" spans="1:10" hidden="1" x14ac:dyDescent="0.3">
      <c r="A319" s="145"/>
      <c r="B319" s="145"/>
      <c r="C319" s="145"/>
      <c r="D319" s="146"/>
      <c r="E319" s="12"/>
      <c r="F319" s="12"/>
      <c r="G319" s="12"/>
      <c r="H319" s="12"/>
      <c r="I319" s="12"/>
      <c r="J319" s="12"/>
    </row>
    <row r="320" spans="1:10" hidden="1" x14ac:dyDescent="0.3">
      <c r="A320" s="148"/>
      <c r="B320" s="148"/>
      <c r="C320" s="148"/>
      <c r="D320" s="149"/>
      <c r="E320" s="12"/>
      <c r="F320" s="12"/>
      <c r="G320" s="12"/>
      <c r="H320" s="12"/>
      <c r="I320" s="12"/>
      <c r="J320" s="12"/>
    </row>
    <row r="321" spans="1:10" x14ac:dyDescent="0.3">
      <c r="A321" s="88"/>
      <c r="B321" s="88"/>
      <c r="C321" s="88"/>
      <c r="D321" s="12"/>
      <c r="E321" s="12"/>
      <c r="F321" s="12"/>
      <c r="G321" s="12"/>
      <c r="H321" s="12"/>
      <c r="I321" s="12"/>
      <c r="J321" s="12"/>
    </row>
    <row r="322" spans="1:10" x14ac:dyDescent="0.3">
      <c r="A322" s="88"/>
      <c r="B322" s="88"/>
      <c r="C322" s="88"/>
      <c r="D322" s="12"/>
      <c r="E322" s="12"/>
      <c r="F322" s="12"/>
      <c r="G322" s="12"/>
      <c r="H322" s="12"/>
      <c r="I322" s="12"/>
      <c r="J322" s="12"/>
    </row>
    <row r="323" spans="1:10" ht="34.5" x14ac:dyDescent="0.3">
      <c r="A323" s="323" t="s">
        <v>191</v>
      </c>
      <c r="B323" s="115"/>
      <c r="C323" s="115"/>
      <c r="D323" s="116"/>
      <c r="E323" s="116"/>
      <c r="F323" s="116"/>
      <c r="G323" s="116"/>
      <c r="H323" s="116"/>
      <c r="I323" s="116"/>
      <c r="J323" s="116"/>
    </row>
    <row r="324" spans="1:10" s="12" customFormat="1" x14ac:dyDescent="0.3"/>
    <row r="325" spans="1:10" x14ac:dyDescent="0.3">
      <c r="A325" s="363" t="s">
        <v>192</v>
      </c>
      <c r="B325" s="88"/>
      <c r="C325" s="88"/>
      <c r="D325" s="12"/>
      <c r="E325" s="12"/>
      <c r="F325" s="12"/>
      <c r="G325" s="12"/>
      <c r="H325" s="12"/>
      <c r="I325" s="12"/>
      <c r="J325" s="12"/>
    </row>
    <row r="326" spans="1:10" x14ac:dyDescent="0.3">
      <c r="A326" s="358" t="s">
        <v>193</v>
      </c>
      <c r="B326" s="302" t="s">
        <v>194</v>
      </c>
      <c r="C326" s="358" t="s">
        <v>195</v>
      </c>
      <c r="D326" s="359" t="s">
        <v>146</v>
      </c>
      <c r="E326" s="12"/>
      <c r="F326" s="12"/>
      <c r="G326" s="12"/>
      <c r="H326" s="12"/>
      <c r="I326" s="12"/>
      <c r="J326" s="12"/>
    </row>
    <row r="327" spans="1:10" ht="30" x14ac:dyDescent="0.3">
      <c r="A327" s="364" t="s">
        <v>196</v>
      </c>
      <c r="B327" s="360">
        <v>19034</v>
      </c>
      <c r="C327" s="478" t="s">
        <v>197</v>
      </c>
      <c r="D327" s="511" t="s">
        <v>198</v>
      </c>
      <c r="E327" s="88"/>
      <c r="G327" s="12"/>
      <c r="H327" s="12"/>
      <c r="I327" s="12"/>
      <c r="J327" s="12"/>
    </row>
    <row r="328" spans="1:10" x14ac:dyDescent="0.3">
      <c r="A328" s="88"/>
      <c r="B328" s="88"/>
      <c r="C328" s="88"/>
      <c r="D328" s="88"/>
      <c r="E328" s="88"/>
      <c r="F328" s="12"/>
      <c r="G328" s="12"/>
      <c r="H328" s="12"/>
      <c r="I328" s="12"/>
      <c r="J328" s="12"/>
    </row>
    <row r="329" spans="1:10" x14ac:dyDescent="0.3">
      <c r="A329" s="363" t="s">
        <v>199</v>
      </c>
      <c r="B329" s="88"/>
      <c r="C329" s="88"/>
      <c r="D329" s="88"/>
      <c r="E329" s="88"/>
      <c r="F329" s="12"/>
      <c r="G329" s="12"/>
      <c r="H329" s="12"/>
      <c r="I329" s="12"/>
      <c r="J329" s="12"/>
    </row>
    <row r="330" spans="1:10" x14ac:dyDescent="0.3">
      <c r="A330" s="302" t="s">
        <v>193</v>
      </c>
      <c r="B330" s="302" t="s">
        <v>200</v>
      </c>
      <c r="C330" s="302" t="s">
        <v>44</v>
      </c>
      <c r="D330" s="302" t="s">
        <v>146</v>
      </c>
      <c r="E330" s="88"/>
      <c r="F330" s="12"/>
      <c r="G330" s="12"/>
      <c r="H330" s="12"/>
      <c r="I330" s="12"/>
      <c r="J330" s="12"/>
    </row>
    <row r="331" spans="1:10" s="12" customFormat="1" ht="30" x14ac:dyDescent="0.3">
      <c r="A331" s="365" t="s">
        <v>196</v>
      </c>
      <c r="B331" s="362">
        <v>447</v>
      </c>
      <c r="C331" s="362" t="s">
        <v>201</v>
      </c>
      <c r="D331" s="511" t="s">
        <v>202</v>
      </c>
      <c r="E331" s="88"/>
    </row>
    <row r="332" spans="1:10" x14ac:dyDescent="0.3">
      <c r="A332" s="88"/>
      <c r="B332" s="88"/>
      <c r="C332" s="88"/>
      <c r="D332" s="12"/>
      <c r="E332" s="12"/>
      <c r="F332" s="12"/>
      <c r="G332" s="12"/>
      <c r="H332" s="12"/>
      <c r="I332" s="12"/>
      <c r="J332" s="12"/>
    </row>
    <row r="333" spans="1:10" x14ac:dyDescent="0.3">
      <c r="A333" s="88"/>
      <c r="B333" s="88"/>
      <c r="C333" s="88"/>
      <c r="D333" s="12"/>
      <c r="E333" s="12"/>
      <c r="F333" s="12"/>
      <c r="G333" s="12"/>
      <c r="H333" s="12"/>
      <c r="I333" s="12"/>
      <c r="J333" s="12"/>
    </row>
    <row r="334" spans="1:10" x14ac:dyDescent="0.3">
      <c r="A334" s="88"/>
      <c r="B334" s="88"/>
      <c r="C334" s="88"/>
      <c r="D334" s="12"/>
      <c r="E334" s="12"/>
      <c r="F334" s="12"/>
      <c r="G334" s="12"/>
      <c r="H334" s="12"/>
      <c r="I334" s="12"/>
      <c r="J334" s="12"/>
    </row>
    <row r="335" spans="1:10" x14ac:dyDescent="0.3">
      <c r="A335" s="88"/>
      <c r="B335" s="88"/>
      <c r="C335" s="88"/>
      <c r="D335" s="12"/>
      <c r="E335" s="12"/>
      <c r="F335" s="12"/>
      <c r="G335" s="12"/>
      <c r="H335" s="12"/>
      <c r="I335" s="12"/>
      <c r="J335" s="12"/>
    </row>
    <row r="336" spans="1:10" x14ac:dyDescent="0.3">
      <c r="A336" s="88"/>
      <c r="B336" s="88"/>
      <c r="C336" s="88"/>
      <c r="D336" s="12"/>
      <c r="E336" s="12"/>
      <c r="F336" s="12"/>
      <c r="G336" s="12"/>
      <c r="H336" s="12"/>
      <c r="I336" s="12"/>
      <c r="J336" s="12"/>
    </row>
    <row r="337" spans="1:10" x14ac:dyDescent="0.3">
      <c r="A337" s="88"/>
      <c r="B337" s="88"/>
      <c r="C337" s="88"/>
      <c r="D337" s="12"/>
      <c r="E337" s="12"/>
      <c r="F337" s="12"/>
      <c r="G337" s="12"/>
      <c r="H337" s="12"/>
      <c r="I337" s="12"/>
      <c r="J337" s="12"/>
    </row>
    <row r="338" spans="1:10" ht="34.5" x14ac:dyDescent="0.3">
      <c r="A338" s="316" t="s">
        <v>203</v>
      </c>
      <c r="B338" s="115"/>
      <c r="C338" s="115"/>
      <c r="D338" s="116"/>
      <c r="E338" s="116"/>
      <c r="F338" s="116"/>
      <c r="G338" s="116"/>
      <c r="H338" s="116"/>
      <c r="I338" s="116"/>
      <c r="J338" s="116"/>
    </row>
    <row r="339" spans="1:10" x14ac:dyDescent="0.3">
      <c r="A339" s="267" t="s">
        <v>204</v>
      </c>
      <c r="B339" s="88"/>
      <c r="C339" s="88"/>
      <c r="D339" s="12"/>
      <c r="E339" s="12"/>
      <c r="F339" s="12"/>
      <c r="G339" s="12"/>
      <c r="H339" s="12"/>
      <c r="I339" s="12"/>
      <c r="J339" s="12"/>
    </row>
    <row r="340" spans="1:10" x14ac:dyDescent="0.3">
      <c r="A340" s="267" t="s">
        <v>205</v>
      </c>
      <c r="B340" s="88"/>
      <c r="C340" s="88"/>
      <c r="D340" s="12"/>
      <c r="E340" s="12"/>
      <c r="F340" s="12"/>
      <c r="G340" s="12"/>
      <c r="H340" s="12"/>
      <c r="I340" s="12"/>
      <c r="J340" s="12"/>
    </row>
    <row r="341" spans="1:10" x14ac:dyDescent="0.3">
      <c r="A341" s="88"/>
      <c r="B341" s="88"/>
      <c r="C341" s="88"/>
      <c r="D341" s="12"/>
      <c r="E341" s="12"/>
      <c r="F341" s="12"/>
      <c r="G341" s="12"/>
      <c r="H341" s="12"/>
      <c r="I341" s="12"/>
      <c r="J341" s="12"/>
    </row>
    <row r="342" spans="1:10" x14ac:dyDescent="0.3">
      <c r="A342" s="88"/>
      <c r="B342" s="88"/>
      <c r="C342" s="88"/>
      <c r="D342" s="12"/>
      <c r="E342" s="12"/>
      <c r="F342" s="12"/>
      <c r="G342" s="12"/>
      <c r="H342" s="12"/>
      <c r="I342" s="12"/>
      <c r="J342" s="12"/>
    </row>
    <row r="343" spans="1:10" x14ac:dyDescent="0.3">
      <c r="A343" s="88"/>
      <c r="B343" s="88"/>
      <c r="C343" s="88"/>
      <c r="D343" s="12"/>
      <c r="E343" s="12"/>
      <c r="F343" s="12"/>
      <c r="G343" s="12"/>
      <c r="H343" s="12"/>
      <c r="I343" s="12"/>
      <c r="J343" s="12"/>
    </row>
    <row r="344" spans="1:10" x14ac:dyDescent="0.3">
      <c r="A344" s="88"/>
      <c r="B344" s="88"/>
      <c r="C344" s="88"/>
      <c r="D344" s="12"/>
      <c r="E344" s="12"/>
      <c r="F344" s="12"/>
      <c r="G344" s="12"/>
      <c r="H344" s="12"/>
      <c r="I344" s="12"/>
      <c r="J344" s="12"/>
    </row>
    <row r="345" spans="1:10" x14ac:dyDescent="0.3">
      <c r="A345" s="88"/>
      <c r="B345" s="88"/>
      <c r="C345" s="88"/>
      <c r="D345" s="12"/>
      <c r="E345" s="12"/>
      <c r="F345" s="12"/>
      <c r="G345" s="12"/>
      <c r="H345" s="12"/>
      <c r="I345" s="12"/>
      <c r="J345" s="12"/>
    </row>
    <row r="346" spans="1:10" x14ac:dyDescent="0.3">
      <c r="A346" s="88"/>
      <c r="B346" s="88"/>
      <c r="C346" s="88"/>
      <c r="D346" s="12"/>
      <c r="E346" s="12"/>
      <c r="F346" s="12"/>
      <c r="G346" s="12"/>
      <c r="H346" s="12"/>
      <c r="I346" s="12"/>
      <c r="J346" s="12"/>
    </row>
    <row r="347" spans="1:10" x14ac:dyDescent="0.3">
      <c r="A347" s="88"/>
      <c r="B347" s="88"/>
      <c r="C347" s="88"/>
      <c r="D347" s="12"/>
      <c r="E347" s="12"/>
      <c r="F347" s="12"/>
      <c r="G347" s="12"/>
      <c r="H347" s="12"/>
      <c r="I347" s="12"/>
      <c r="J347" s="12"/>
    </row>
    <row r="348" spans="1:10" x14ac:dyDescent="0.3">
      <c r="A348" s="88"/>
      <c r="B348" s="88"/>
      <c r="C348" s="88"/>
      <c r="D348" s="12"/>
      <c r="E348" s="12"/>
      <c r="F348" s="12"/>
      <c r="G348" s="12"/>
      <c r="H348" s="12"/>
      <c r="I348" s="12"/>
      <c r="J348" s="12"/>
    </row>
    <row r="349" spans="1:10" x14ac:dyDescent="0.3">
      <c r="A349" s="88"/>
      <c r="B349" s="88"/>
      <c r="C349" s="88"/>
      <c r="D349" s="12"/>
      <c r="E349" s="12"/>
      <c r="F349" s="12"/>
      <c r="G349" s="12"/>
      <c r="H349" s="12"/>
      <c r="I349" s="12"/>
      <c r="J349" s="12"/>
    </row>
    <row r="350" spans="1:10" x14ac:dyDescent="0.3">
      <c r="A350" s="88"/>
      <c r="B350" s="88"/>
      <c r="C350" s="88"/>
      <c r="D350" s="12"/>
      <c r="E350" s="12"/>
      <c r="F350" s="12"/>
      <c r="G350" s="12"/>
      <c r="H350" s="12"/>
      <c r="I350" s="12"/>
      <c r="J350" s="12"/>
    </row>
    <row r="351" spans="1:10" x14ac:dyDescent="0.3">
      <c r="A351" s="88"/>
      <c r="B351" s="88"/>
      <c r="C351" s="88"/>
      <c r="D351" s="12"/>
      <c r="E351" s="12"/>
      <c r="F351" s="12"/>
      <c r="G351" s="12"/>
      <c r="H351" s="12"/>
      <c r="I351" s="12"/>
      <c r="J351" s="12"/>
    </row>
    <row r="352" spans="1:10" x14ac:dyDescent="0.3">
      <c r="A352" s="88"/>
      <c r="B352" s="88"/>
      <c r="C352" s="88"/>
      <c r="D352" s="12"/>
      <c r="E352" s="12"/>
      <c r="F352" s="12"/>
      <c r="G352" s="12"/>
      <c r="H352" s="12"/>
      <c r="I352" s="12"/>
      <c r="J352" s="12"/>
    </row>
    <row r="353" spans="1:10" x14ac:dyDescent="0.3">
      <c r="A353" s="88"/>
      <c r="B353" s="88"/>
      <c r="C353" s="88"/>
      <c r="D353" s="12"/>
      <c r="E353" s="12"/>
      <c r="F353" s="12"/>
      <c r="G353" s="12"/>
      <c r="H353" s="12"/>
      <c r="I353" s="12"/>
      <c r="J353" s="12"/>
    </row>
    <row r="354" spans="1:10" x14ac:dyDescent="0.3">
      <c r="A354" s="88"/>
      <c r="B354" s="88"/>
      <c r="C354" s="88"/>
      <c r="D354" s="12"/>
      <c r="E354" s="12"/>
      <c r="F354" s="12"/>
      <c r="G354" s="12"/>
      <c r="H354" s="12"/>
      <c r="I354" s="12"/>
      <c r="J354" s="12"/>
    </row>
    <row r="355" spans="1:10" x14ac:dyDescent="0.3">
      <c r="A355" s="88"/>
      <c r="B355" s="88"/>
      <c r="C355" s="88"/>
      <c r="D355" s="12"/>
      <c r="E355" s="12"/>
      <c r="F355" s="12"/>
      <c r="G355" s="12"/>
      <c r="H355" s="12"/>
      <c r="I355" s="12"/>
      <c r="J355" s="12"/>
    </row>
    <row r="356" spans="1:10" x14ac:dyDescent="0.3">
      <c r="A356" s="88"/>
      <c r="B356" s="88"/>
      <c r="C356" s="88"/>
      <c r="D356" s="12"/>
      <c r="E356" s="12"/>
      <c r="F356" s="12"/>
      <c r="G356" s="12"/>
      <c r="H356" s="12"/>
      <c r="I356" s="12"/>
      <c r="J356" s="12"/>
    </row>
    <row r="357" spans="1:10" x14ac:dyDescent="0.3">
      <c r="A357" s="88"/>
      <c r="B357" s="88"/>
      <c r="C357" s="88"/>
      <c r="D357" s="12"/>
      <c r="E357" s="12"/>
      <c r="F357" s="12"/>
      <c r="G357" s="12"/>
      <c r="H357" s="12"/>
      <c r="I357" s="12"/>
      <c r="J357" s="12"/>
    </row>
    <row r="358" spans="1:10" x14ac:dyDescent="0.3">
      <c r="A358" s="88"/>
      <c r="B358" s="88"/>
      <c r="C358" s="88"/>
      <c r="D358" s="12"/>
      <c r="E358" s="12"/>
      <c r="F358" s="12"/>
      <c r="G358" s="12"/>
      <c r="H358" s="12"/>
      <c r="I358" s="12"/>
      <c r="J358" s="12"/>
    </row>
    <row r="359" spans="1:10" x14ac:dyDescent="0.3">
      <c r="A359" s="88"/>
      <c r="B359" s="88"/>
      <c r="C359" s="88"/>
      <c r="D359" s="12"/>
      <c r="E359" s="12"/>
      <c r="F359" s="12"/>
      <c r="G359" s="12"/>
      <c r="H359" s="12"/>
      <c r="I359" s="12"/>
      <c r="J359" s="12"/>
    </row>
    <row r="360" spans="1:10" x14ac:dyDescent="0.3">
      <c r="A360" s="88"/>
      <c r="B360" s="88"/>
      <c r="C360" s="88"/>
      <c r="D360" s="12"/>
      <c r="E360" s="12"/>
      <c r="F360" s="12"/>
      <c r="G360" s="12"/>
      <c r="H360" s="12"/>
      <c r="I360" s="12"/>
      <c r="J360" s="12"/>
    </row>
    <row r="361" spans="1:10" x14ac:dyDescent="0.3">
      <c r="A361" s="88"/>
      <c r="B361" s="88"/>
      <c r="C361" s="88"/>
      <c r="D361" s="12"/>
      <c r="E361" s="12"/>
      <c r="F361" s="12"/>
      <c r="G361" s="12"/>
      <c r="H361" s="12"/>
      <c r="I361" s="12"/>
      <c r="J361" s="12"/>
    </row>
    <row r="362" spans="1:10" x14ac:dyDescent="0.3">
      <c r="A362" s="88"/>
      <c r="B362" s="88"/>
      <c r="C362" s="88"/>
      <c r="D362" s="12"/>
      <c r="E362" s="12"/>
      <c r="F362" s="12"/>
      <c r="G362" s="12"/>
      <c r="H362" s="12"/>
      <c r="I362" s="12"/>
      <c r="J362" s="12"/>
    </row>
    <row r="363" spans="1:10" x14ac:dyDescent="0.3">
      <c r="A363" s="88"/>
      <c r="B363" s="88"/>
      <c r="C363" s="88"/>
      <c r="D363" s="12"/>
      <c r="E363" s="12"/>
      <c r="F363" s="12"/>
      <c r="G363" s="12"/>
      <c r="H363" s="12"/>
      <c r="I363" s="12"/>
      <c r="J363" s="12"/>
    </row>
    <row r="364" spans="1:10" x14ac:dyDescent="0.3">
      <c r="A364" s="88"/>
      <c r="B364" s="88"/>
      <c r="C364" s="88"/>
      <c r="D364" s="12"/>
      <c r="E364" s="12"/>
      <c r="F364" s="12"/>
      <c r="G364" s="12"/>
      <c r="H364" s="12"/>
      <c r="I364" s="12"/>
      <c r="J364" s="12"/>
    </row>
    <row r="365" spans="1:10" x14ac:dyDescent="0.3">
      <c r="A365" s="88"/>
      <c r="B365" s="88"/>
      <c r="C365" s="88"/>
      <c r="D365" s="12"/>
      <c r="E365" s="12"/>
      <c r="F365" s="12"/>
      <c r="G365" s="12"/>
      <c r="H365" s="12"/>
      <c r="I365" s="12"/>
      <c r="J365" s="12"/>
    </row>
    <row r="366" spans="1:10" x14ac:dyDescent="0.3">
      <c r="A366" s="88"/>
      <c r="B366" s="88"/>
      <c r="C366" s="88"/>
      <c r="D366" s="12"/>
      <c r="E366" s="12"/>
      <c r="F366" s="12"/>
      <c r="G366" s="12"/>
      <c r="H366" s="12"/>
      <c r="I366" s="12"/>
      <c r="J366" s="12"/>
    </row>
    <row r="367" spans="1:10" x14ac:dyDescent="0.3">
      <c r="A367" s="88"/>
      <c r="B367" s="88"/>
      <c r="C367" s="88"/>
      <c r="D367" s="12"/>
      <c r="E367" s="12"/>
      <c r="F367" s="12"/>
      <c r="G367" s="12"/>
      <c r="H367" s="12"/>
      <c r="I367" s="12"/>
      <c r="J367" s="12"/>
    </row>
    <row r="368" spans="1:10" ht="12.75" customHeight="1" x14ac:dyDescent="0.3">
      <c r="A368" s="88"/>
      <c r="B368" s="88"/>
      <c r="C368" s="88"/>
      <c r="D368" s="12"/>
      <c r="E368" s="12"/>
      <c r="F368" s="12"/>
      <c r="G368" s="12"/>
      <c r="H368" s="12"/>
      <c r="I368" s="12"/>
      <c r="J368" s="12"/>
    </row>
    <row r="369" spans="1:1023 1025:2047 2049:3071 3073:4095 4097:5119 5121:6143 6145:7167 7169:8191 8193:9215 9217:10239 10241:11263 11265:12287 12289:13311 13313:14335 14337:15359 15361:16383" s="12" customFormat="1" ht="23.25" customHeight="1" x14ac:dyDescent="0.3">
      <c r="A369" s="357" t="s">
        <v>178</v>
      </c>
      <c r="B369" s="353"/>
      <c r="C369" s="353"/>
      <c r="D369" s="354"/>
      <c r="E369" s="354"/>
      <c r="F369" s="354"/>
      <c r="G369" s="88"/>
      <c r="I369" s="377"/>
      <c r="J369" s="88"/>
      <c r="K369" s="88"/>
      <c r="M369" s="377"/>
      <c r="N369" s="88"/>
      <c r="O369" s="88"/>
      <c r="Q369" s="377"/>
      <c r="R369" s="88"/>
      <c r="S369" s="88"/>
      <c r="U369" s="377"/>
      <c r="V369" s="88"/>
      <c r="W369" s="88"/>
      <c r="Y369" s="377"/>
      <c r="Z369" s="88"/>
      <c r="AA369" s="88"/>
      <c r="AC369" s="377"/>
      <c r="AD369" s="88"/>
      <c r="AE369" s="88"/>
      <c r="AG369" s="377"/>
      <c r="AH369" s="88"/>
      <c r="AI369" s="88"/>
      <c r="AK369" s="377"/>
      <c r="AL369" s="88"/>
      <c r="AM369" s="88"/>
      <c r="AO369" s="377"/>
      <c r="AP369" s="88"/>
      <c r="AQ369" s="88"/>
      <c r="AS369" s="377"/>
      <c r="AT369" s="88"/>
      <c r="AU369" s="88"/>
      <c r="AW369" s="377"/>
      <c r="AX369" s="88"/>
      <c r="AY369" s="88"/>
      <c r="BA369" s="377"/>
      <c r="BB369" s="88"/>
      <c r="BC369" s="88"/>
      <c r="BE369" s="377"/>
      <c r="BF369" s="88"/>
      <c r="BG369" s="88"/>
      <c r="BI369" s="377"/>
      <c r="BJ369" s="88"/>
      <c r="BK369" s="88"/>
      <c r="BM369" s="377"/>
      <c r="BN369" s="88"/>
      <c r="BO369" s="88"/>
      <c r="BQ369" s="377"/>
      <c r="BR369" s="88"/>
      <c r="BS369" s="88"/>
      <c r="BU369" s="377"/>
      <c r="BV369" s="88"/>
      <c r="BW369" s="88"/>
      <c r="BY369" s="377"/>
      <c r="BZ369" s="88"/>
      <c r="CA369" s="88"/>
      <c r="CC369" s="377"/>
      <c r="CD369" s="88"/>
      <c r="CE369" s="88"/>
      <c r="CG369" s="377"/>
      <c r="CH369" s="88"/>
      <c r="CI369" s="88"/>
      <c r="CK369" s="377"/>
      <c r="CL369" s="88"/>
      <c r="CM369" s="88"/>
      <c r="CO369" s="377"/>
      <c r="CP369" s="88"/>
      <c r="CQ369" s="88"/>
      <c r="CS369" s="377"/>
      <c r="CT369" s="88"/>
      <c r="CU369" s="88"/>
      <c r="CW369" s="377"/>
      <c r="CX369" s="88"/>
      <c r="CY369" s="88"/>
      <c r="DA369" s="377"/>
      <c r="DB369" s="88"/>
      <c r="DC369" s="88"/>
      <c r="DE369" s="377"/>
      <c r="DF369" s="88"/>
      <c r="DG369" s="88"/>
      <c r="DI369" s="377"/>
      <c r="DJ369" s="88"/>
      <c r="DK369" s="88"/>
      <c r="DM369" s="377"/>
      <c r="DN369" s="88"/>
      <c r="DO369" s="88"/>
      <c r="DQ369" s="377"/>
      <c r="DR369" s="88"/>
      <c r="DS369" s="88"/>
      <c r="DU369" s="377"/>
      <c r="DV369" s="88"/>
      <c r="DW369" s="88"/>
      <c r="DY369" s="377"/>
      <c r="DZ369" s="88"/>
      <c r="EA369" s="88"/>
      <c r="EC369" s="377"/>
      <c r="ED369" s="88"/>
      <c r="EE369" s="88"/>
      <c r="EG369" s="377"/>
      <c r="EH369" s="88"/>
      <c r="EI369" s="88"/>
      <c r="EK369" s="377"/>
      <c r="EL369" s="88"/>
      <c r="EM369" s="88"/>
      <c r="EO369" s="377"/>
      <c r="EP369" s="88"/>
      <c r="EQ369" s="88"/>
      <c r="ES369" s="377"/>
      <c r="ET369" s="88"/>
      <c r="EU369" s="88"/>
      <c r="EW369" s="377"/>
      <c r="EX369" s="88"/>
      <c r="EY369" s="88"/>
      <c r="FA369" s="377"/>
      <c r="FB369" s="88"/>
      <c r="FC369" s="88"/>
      <c r="FE369" s="377"/>
      <c r="FF369" s="88"/>
      <c r="FG369" s="88"/>
      <c r="FI369" s="377"/>
      <c r="FJ369" s="88"/>
      <c r="FK369" s="88"/>
      <c r="FM369" s="377"/>
      <c r="FN369" s="88"/>
      <c r="FO369" s="88"/>
      <c r="FQ369" s="377"/>
      <c r="FR369" s="88"/>
      <c r="FS369" s="88"/>
      <c r="FU369" s="377"/>
      <c r="FV369" s="88"/>
      <c r="FW369" s="88"/>
      <c r="FY369" s="377"/>
      <c r="FZ369" s="88"/>
      <c r="GA369" s="88"/>
      <c r="GC369" s="377"/>
      <c r="GD369" s="88"/>
      <c r="GE369" s="88"/>
      <c r="GG369" s="377"/>
      <c r="GH369" s="88"/>
      <c r="GI369" s="88"/>
      <c r="GK369" s="377"/>
      <c r="GL369" s="88"/>
      <c r="GM369" s="88"/>
      <c r="GO369" s="377"/>
      <c r="GP369" s="88"/>
      <c r="GQ369" s="88"/>
      <c r="GS369" s="377"/>
      <c r="GT369" s="88"/>
      <c r="GU369" s="88"/>
      <c r="GW369" s="377"/>
      <c r="GX369" s="88"/>
      <c r="GY369" s="88"/>
      <c r="HA369" s="377"/>
      <c r="HB369" s="88"/>
      <c r="HC369" s="88"/>
      <c r="HE369" s="377"/>
      <c r="HF369" s="88"/>
      <c r="HG369" s="88"/>
      <c r="HI369" s="377"/>
      <c r="HJ369" s="88"/>
      <c r="HK369" s="88"/>
      <c r="HM369" s="377"/>
      <c r="HN369" s="88"/>
      <c r="HO369" s="88"/>
      <c r="HQ369" s="377"/>
      <c r="HR369" s="88"/>
      <c r="HS369" s="88"/>
      <c r="HU369" s="377"/>
      <c r="HV369" s="88"/>
      <c r="HW369" s="88"/>
      <c r="HY369" s="377"/>
      <c r="HZ369" s="88"/>
      <c r="IA369" s="88"/>
      <c r="IC369" s="377"/>
      <c r="ID369" s="88"/>
      <c r="IE369" s="88"/>
      <c r="IG369" s="377"/>
      <c r="IH369" s="88"/>
      <c r="II369" s="88"/>
      <c r="IK369" s="377"/>
      <c r="IL369" s="88"/>
      <c r="IM369" s="88"/>
      <c r="IO369" s="377"/>
      <c r="IP369" s="88"/>
      <c r="IQ369" s="88"/>
      <c r="IS369" s="377"/>
      <c r="IT369" s="88"/>
      <c r="IU369" s="88"/>
      <c r="IW369" s="377"/>
      <c r="IX369" s="88"/>
      <c r="IY369" s="88"/>
      <c r="JA369" s="377"/>
      <c r="JB369" s="88"/>
      <c r="JC369" s="88"/>
      <c r="JE369" s="377"/>
      <c r="JF369" s="88"/>
      <c r="JG369" s="88"/>
      <c r="JI369" s="377"/>
      <c r="JJ369" s="88"/>
      <c r="JK369" s="88"/>
      <c r="JM369" s="377"/>
      <c r="JN369" s="88"/>
      <c r="JO369" s="88"/>
      <c r="JQ369" s="377"/>
      <c r="JR369" s="88"/>
      <c r="JS369" s="88"/>
      <c r="JU369" s="377"/>
      <c r="JV369" s="88"/>
      <c r="JW369" s="88"/>
      <c r="JY369" s="377"/>
      <c r="JZ369" s="88"/>
      <c r="KA369" s="88"/>
      <c r="KC369" s="377"/>
      <c r="KD369" s="88"/>
      <c r="KE369" s="88"/>
      <c r="KG369" s="377"/>
      <c r="KH369" s="88"/>
      <c r="KI369" s="88"/>
      <c r="KK369" s="377"/>
      <c r="KL369" s="88"/>
      <c r="KM369" s="88"/>
      <c r="KO369" s="377"/>
      <c r="KP369" s="88"/>
      <c r="KQ369" s="88"/>
      <c r="KS369" s="377"/>
      <c r="KT369" s="88"/>
      <c r="KU369" s="88"/>
      <c r="KW369" s="377"/>
      <c r="KX369" s="88"/>
      <c r="KY369" s="88"/>
      <c r="LA369" s="377"/>
      <c r="LB369" s="88"/>
      <c r="LC369" s="88"/>
      <c r="LE369" s="377"/>
      <c r="LF369" s="88"/>
      <c r="LG369" s="88"/>
      <c r="LI369" s="377"/>
      <c r="LJ369" s="88"/>
      <c r="LK369" s="88"/>
      <c r="LM369" s="377"/>
      <c r="LN369" s="88"/>
      <c r="LO369" s="88"/>
      <c r="LQ369" s="377"/>
      <c r="LR369" s="88"/>
      <c r="LS369" s="88"/>
      <c r="LU369" s="377"/>
      <c r="LV369" s="88"/>
      <c r="LW369" s="88"/>
      <c r="LY369" s="377"/>
      <c r="LZ369" s="88"/>
      <c r="MA369" s="88"/>
      <c r="MC369" s="377"/>
      <c r="MD369" s="88"/>
      <c r="ME369" s="88"/>
      <c r="MG369" s="377"/>
      <c r="MH369" s="88"/>
      <c r="MI369" s="88"/>
      <c r="MK369" s="377"/>
      <c r="ML369" s="88"/>
      <c r="MM369" s="88"/>
      <c r="MO369" s="377"/>
      <c r="MP369" s="88"/>
      <c r="MQ369" s="88"/>
      <c r="MS369" s="377"/>
      <c r="MT369" s="88"/>
      <c r="MU369" s="88"/>
      <c r="MW369" s="377"/>
      <c r="MX369" s="88"/>
      <c r="MY369" s="88"/>
      <c r="NA369" s="377"/>
      <c r="NB369" s="88"/>
      <c r="NC369" s="88"/>
      <c r="NE369" s="377"/>
      <c r="NF369" s="88"/>
      <c r="NG369" s="88"/>
      <c r="NI369" s="377"/>
      <c r="NJ369" s="88"/>
      <c r="NK369" s="88"/>
      <c r="NM369" s="377"/>
      <c r="NN369" s="88"/>
      <c r="NO369" s="88"/>
      <c r="NQ369" s="377"/>
      <c r="NR369" s="88"/>
      <c r="NS369" s="88"/>
      <c r="NU369" s="377"/>
      <c r="NV369" s="88"/>
      <c r="NW369" s="88"/>
      <c r="NY369" s="377"/>
      <c r="NZ369" s="88"/>
      <c r="OA369" s="88"/>
      <c r="OC369" s="377"/>
      <c r="OD369" s="88"/>
      <c r="OE369" s="88"/>
      <c r="OG369" s="377"/>
      <c r="OH369" s="88"/>
      <c r="OI369" s="88"/>
      <c r="OK369" s="377"/>
      <c r="OL369" s="88"/>
      <c r="OM369" s="88"/>
      <c r="OO369" s="377"/>
      <c r="OP369" s="88"/>
      <c r="OQ369" s="88"/>
      <c r="OS369" s="377"/>
      <c r="OT369" s="88"/>
      <c r="OU369" s="88"/>
      <c r="OW369" s="377"/>
      <c r="OX369" s="88"/>
      <c r="OY369" s="88"/>
      <c r="PA369" s="377"/>
      <c r="PB369" s="88"/>
      <c r="PC369" s="88"/>
      <c r="PE369" s="377"/>
      <c r="PF369" s="88"/>
      <c r="PG369" s="88"/>
      <c r="PI369" s="377"/>
      <c r="PJ369" s="88"/>
      <c r="PK369" s="88"/>
      <c r="PM369" s="377"/>
      <c r="PN369" s="88"/>
      <c r="PO369" s="88"/>
      <c r="PQ369" s="377"/>
      <c r="PR369" s="88"/>
      <c r="PS369" s="88"/>
      <c r="PU369" s="377"/>
      <c r="PV369" s="88"/>
      <c r="PW369" s="88"/>
      <c r="PY369" s="377"/>
      <c r="PZ369" s="88"/>
      <c r="QA369" s="88"/>
      <c r="QC369" s="377"/>
      <c r="QD369" s="88"/>
      <c r="QE369" s="88"/>
      <c r="QG369" s="377"/>
      <c r="QH369" s="88"/>
      <c r="QI369" s="88"/>
      <c r="QK369" s="377"/>
      <c r="QL369" s="88"/>
      <c r="QM369" s="88"/>
      <c r="QO369" s="377"/>
      <c r="QP369" s="88"/>
      <c r="QQ369" s="88"/>
      <c r="QS369" s="377"/>
      <c r="QT369" s="88"/>
      <c r="QU369" s="88"/>
      <c r="QW369" s="377"/>
      <c r="QX369" s="88"/>
      <c r="QY369" s="88"/>
      <c r="RA369" s="377"/>
      <c r="RB369" s="88"/>
      <c r="RC369" s="88"/>
      <c r="RE369" s="377"/>
      <c r="RF369" s="88"/>
      <c r="RG369" s="88"/>
      <c r="RI369" s="377"/>
      <c r="RJ369" s="88"/>
      <c r="RK369" s="88"/>
      <c r="RM369" s="377"/>
      <c r="RN369" s="88"/>
      <c r="RO369" s="88"/>
      <c r="RQ369" s="377"/>
      <c r="RR369" s="88"/>
      <c r="RS369" s="88"/>
      <c r="RU369" s="377"/>
      <c r="RV369" s="88"/>
      <c r="RW369" s="88"/>
      <c r="RY369" s="377"/>
      <c r="RZ369" s="88"/>
      <c r="SA369" s="88"/>
      <c r="SC369" s="377"/>
      <c r="SD369" s="88"/>
      <c r="SE369" s="88"/>
      <c r="SG369" s="377"/>
      <c r="SH369" s="88"/>
      <c r="SI369" s="88"/>
      <c r="SK369" s="377"/>
      <c r="SL369" s="88"/>
      <c r="SM369" s="88"/>
      <c r="SO369" s="377"/>
      <c r="SP369" s="88"/>
      <c r="SQ369" s="88"/>
      <c r="SS369" s="377"/>
      <c r="ST369" s="88"/>
      <c r="SU369" s="88"/>
      <c r="SW369" s="377"/>
      <c r="SX369" s="88"/>
      <c r="SY369" s="88"/>
      <c r="TA369" s="377"/>
      <c r="TB369" s="88"/>
      <c r="TC369" s="88"/>
      <c r="TE369" s="377"/>
      <c r="TF369" s="88"/>
      <c r="TG369" s="88"/>
      <c r="TI369" s="377"/>
      <c r="TJ369" s="88"/>
      <c r="TK369" s="88"/>
      <c r="TM369" s="377"/>
      <c r="TN369" s="88"/>
      <c r="TO369" s="88"/>
      <c r="TQ369" s="377"/>
      <c r="TR369" s="88"/>
      <c r="TS369" s="88"/>
      <c r="TU369" s="377"/>
      <c r="TV369" s="88"/>
      <c r="TW369" s="88"/>
      <c r="TY369" s="377"/>
      <c r="TZ369" s="88"/>
      <c r="UA369" s="88"/>
      <c r="UC369" s="377"/>
      <c r="UD369" s="88"/>
      <c r="UE369" s="88"/>
      <c r="UG369" s="377"/>
      <c r="UH369" s="88"/>
      <c r="UI369" s="88"/>
      <c r="UK369" s="377"/>
      <c r="UL369" s="88"/>
      <c r="UM369" s="88"/>
      <c r="UO369" s="377"/>
      <c r="UP369" s="88"/>
      <c r="UQ369" s="88"/>
      <c r="US369" s="377"/>
      <c r="UT369" s="88"/>
      <c r="UU369" s="88"/>
      <c r="UW369" s="377"/>
      <c r="UX369" s="88"/>
      <c r="UY369" s="88"/>
      <c r="VA369" s="377"/>
      <c r="VB369" s="88"/>
      <c r="VC369" s="88"/>
      <c r="VE369" s="377"/>
      <c r="VF369" s="88"/>
      <c r="VG369" s="88"/>
      <c r="VI369" s="377"/>
      <c r="VJ369" s="88"/>
      <c r="VK369" s="88"/>
      <c r="VM369" s="377"/>
      <c r="VN369" s="88"/>
      <c r="VO369" s="88"/>
      <c r="VQ369" s="377"/>
      <c r="VR369" s="88"/>
      <c r="VS369" s="88"/>
      <c r="VU369" s="377"/>
      <c r="VV369" s="88"/>
      <c r="VW369" s="88"/>
      <c r="VY369" s="377"/>
      <c r="VZ369" s="88"/>
      <c r="WA369" s="88"/>
      <c r="WC369" s="377"/>
      <c r="WD369" s="88"/>
      <c r="WE369" s="88"/>
      <c r="WG369" s="377"/>
      <c r="WH369" s="88"/>
      <c r="WI369" s="88"/>
      <c r="WK369" s="377"/>
      <c r="WL369" s="88"/>
      <c r="WM369" s="88"/>
      <c r="WO369" s="377"/>
      <c r="WP369" s="88"/>
      <c r="WQ369" s="88"/>
      <c r="WS369" s="377"/>
      <c r="WT369" s="88"/>
      <c r="WU369" s="88"/>
      <c r="WW369" s="377"/>
      <c r="WX369" s="88"/>
      <c r="WY369" s="88"/>
      <c r="XA369" s="377"/>
      <c r="XB369" s="88"/>
      <c r="XC369" s="88"/>
      <c r="XE369" s="377"/>
      <c r="XF369" s="88"/>
      <c r="XG369" s="88"/>
      <c r="XI369" s="377"/>
      <c r="XJ369" s="88"/>
      <c r="XK369" s="88"/>
      <c r="XM369" s="377"/>
      <c r="XN369" s="88"/>
      <c r="XO369" s="88"/>
      <c r="XQ369" s="377"/>
      <c r="XR369" s="88"/>
      <c r="XS369" s="88"/>
      <c r="XU369" s="377"/>
      <c r="XV369" s="88"/>
      <c r="XW369" s="88"/>
      <c r="XY369" s="377"/>
      <c r="XZ369" s="88"/>
      <c r="YA369" s="88"/>
      <c r="YC369" s="377"/>
      <c r="YD369" s="88"/>
      <c r="YE369" s="88"/>
      <c r="YG369" s="377"/>
      <c r="YH369" s="88"/>
      <c r="YI369" s="88"/>
      <c r="YK369" s="377"/>
      <c r="YL369" s="88"/>
      <c r="YM369" s="88"/>
      <c r="YO369" s="377"/>
      <c r="YP369" s="88"/>
      <c r="YQ369" s="88"/>
      <c r="YS369" s="377"/>
      <c r="YT369" s="88"/>
      <c r="YU369" s="88"/>
      <c r="YW369" s="377"/>
      <c r="YX369" s="88"/>
      <c r="YY369" s="88"/>
      <c r="ZA369" s="377"/>
      <c r="ZB369" s="88"/>
      <c r="ZC369" s="88"/>
      <c r="ZE369" s="377"/>
      <c r="ZF369" s="88"/>
      <c r="ZG369" s="88"/>
      <c r="ZI369" s="377"/>
      <c r="ZJ369" s="88"/>
      <c r="ZK369" s="88"/>
      <c r="ZM369" s="377"/>
      <c r="ZN369" s="88"/>
      <c r="ZO369" s="88"/>
      <c r="ZQ369" s="377"/>
      <c r="ZR369" s="88"/>
      <c r="ZS369" s="88"/>
      <c r="ZU369" s="377"/>
      <c r="ZV369" s="88"/>
      <c r="ZW369" s="88"/>
      <c r="ZY369" s="377"/>
      <c r="ZZ369" s="88"/>
      <c r="AAA369" s="88"/>
      <c r="AAC369" s="377"/>
      <c r="AAD369" s="88"/>
      <c r="AAE369" s="88"/>
      <c r="AAG369" s="377"/>
      <c r="AAH369" s="88"/>
      <c r="AAI369" s="88"/>
      <c r="AAK369" s="377"/>
      <c r="AAL369" s="88"/>
      <c r="AAM369" s="88"/>
      <c r="AAO369" s="377"/>
      <c r="AAP369" s="88"/>
      <c r="AAQ369" s="88"/>
      <c r="AAS369" s="377"/>
      <c r="AAT369" s="88"/>
      <c r="AAU369" s="88"/>
      <c r="AAW369" s="377"/>
      <c r="AAX369" s="88"/>
      <c r="AAY369" s="88"/>
      <c r="ABA369" s="377"/>
      <c r="ABB369" s="88"/>
      <c r="ABC369" s="88"/>
      <c r="ABE369" s="377"/>
      <c r="ABF369" s="88"/>
      <c r="ABG369" s="88"/>
      <c r="ABI369" s="377"/>
      <c r="ABJ369" s="88"/>
      <c r="ABK369" s="88"/>
      <c r="ABM369" s="377"/>
      <c r="ABN369" s="88"/>
      <c r="ABO369" s="88"/>
      <c r="ABQ369" s="377"/>
      <c r="ABR369" s="88"/>
      <c r="ABS369" s="88"/>
      <c r="ABU369" s="377"/>
      <c r="ABV369" s="88"/>
      <c r="ABW369" s="88"/>
      <c r="ABY369" s="377"/>
      <c r="ABZ369" s="88"/>
      <c r="ACA369" s="88"/>
      <c r="ACC369" s="377"/>
      <c r="ACD369" s="88"/>
      <c r="ACE369" s="88"/>
      <c r="ACG369" s="377"/>
      <c r="ACH369" s="88"/>
      <c r="ACI369" s="88"/>
      <c r="ACK369" s="377"/>
      <c r="ACL369" s="88"/>
      <c r="ACM369" s="88"/>
      <c r="ACO369" s="377"/>
      <c r="ACP369" s="88"/>
      <c r="ACQ369" s="88"/>
      <c r="ACS369" s="377"/>
      <c r="ACT369" s="88"/>
      <c r="ACU369" s="88"/>
      <c r="ACW369" s="377"/>
      <c r="ACX369" s="88"/>
      <c r="ACY369" s="88"/>
      <c r="ADA369" s="377"/>
      <c r="ADB369" s="88"/>
      <c r="ADC369" s="88"/>
      <c r="ADE369" s="377"/>
      <c r="ADF369" s="88"/>
      <c r="ADG369" s="88"/>
      <c r="ADI369" s="377"/>
      <c r="ADJ369" s="88"/>
      <c r="ADK369" s="88"/>
      <c r="ADM369" s="377"/>
      <c r="ADN369" s="88"/>
      <c r="ADO369" s="88"/>
      <c r="ADQ369" s="377"/>
      <c r="ADR369" s="88"/>
      <c r="ADS369" s="88"/>
      <c r="ADU369" s="377"/>
      <c r="ADV369" s="88"/>
      <c r="ADW369" s="88"/>
      <c r="ADY369" s="377"/>
      <c r="ADZ369" s="88"/>
      <c r="AEA369" s="88"/>
      <c r="AEC369" s="377"/>
      <c r="AED369" s="88"/>
      <c r="AEE369" s="88"/>
      <c r="AEG369" s="377"/>
      <c r="AEH369" s="88"/>
      <c r="AEI369" s="88"/>
      <c r="AEK369" s="377"/>
      <c r="AEL369" s="88"/>
      <c r="AEM369" s="88"/>
      <c r="AEO369" s="377"/>
      <c r="AEP369" s="88"/>
      <c r="AEQ369" s="88"/>
      <c r="AES369" s="377"/>
      <c r="AET369" s="88"/>
      <c r="AEU369" s="88"/>
      <c r="AEW369" s="377"/>
      <c r="AEX369" s="88"/>
      <c r="AEY369" s="88"/>
      <c r="AFA369" s="377"/>
      <c r="AFB369" s="88"/>
      <c r="AFC369" s="88"/>
      <c r="AFE369" s="377"/>
      <c r="AFF369" s="88"/>
      <c r="AFG369" s="88"/>
      <c r="AFI369" s="377"/>
      <c r="AFJ369" s="88"/>
      <c r="AFK369" s="88"/>
      <c r="AFM369" s="377"/>
      <c r="AFN369" s="88"/>
      <c r="AFO369" s="88"/>
      <c r="AFQ369" s="377"/>
      <c r="AFR369" s="88"/>
      <c r="AFS369" s="88"/>
      <c r="AFU369" s="377"/>
      <c r="AFV369" s="88"/>
      <c r="AFW369" s="88"/>
      <c r="AFY369" s="377"/>
      <c r="AFZ369" s="88"/>
      <c r="AGA369" s="88"/>
      <c r="AGC369" s="377"/>
      <c r="AGD369" s="88"/>
      <c r="AGE369" s="88"/>
      <c r="AGG369" s="377"/>
      <c r="AGH369" s="88"/>
      <c r="AGI369" s="88"/>
      <c r="AGK369" s="377"/>
      <c r="AGL369" s="88"/>
      <c r="AGM369" s="88"/>
      <c r="AGO369" s="377"/>
      <c r="AGP369" s="88"/>
      <c r="AGQ369" s="88"/>
      <c r="AGS369" s="377"/>
      <c r="AGT369" s="88"/>
      <c r="AGU369" s="88"/>
      <c r="AGW369" s="377"/>
      <c r="AGX369" s="88"/>
      <c r="AGY369" s="88"/>
      <c r="AHA369" s="377"/>
      <c r="AHB369" s="88"/>
      <c r="AHC369" s="88"/>
      <c r="AHE369" s="377"/>
      <c r="AHF369" s="88"/>
      <c r="AHG369" s="88"/>
      <c r="AHI369" s="377"/>
      <c r="AHJ369" s="88"/>
      <c r="AHK369" s="88"/>
      <c r="AHM369" s="377"/>
      <c r="AHN369" s="88"/>
      <c r="AHO369" s="88"/>
      <c r="AHQ369" s="377"/>
      <c r="AHR369" s="88"/>
      <c r="AHS369" s="88"/>
      <c r="AHU369" s="377"/>
      <c r="AHV369" s="88"/>
      <c r="AHW369" s="88"/>
      <c r="AHY369" s="377"/>
      <c r="AHZ369" s="88"/>
      <c r="AIA369" s="88"/>
      <c r="AIC369" s="377"/>
      <c r="AID369" s="88"/>
      <c r="AIE369" s="88"/>
      <c r="AIG369" s="377"/>
      <c r="AIH369" s="88"/>
      <c r="AII369" s="88"/>
      <c r="AIK369" s="377"/>
      <c r="AIL369" s="88"/>
      <c r="AIM369" s="88"/>
      <c r="AIO369" s="377"/>
      <c r="AIP369" s="88"/>
      <c r="AIQ369" s="88"/>
      <c r="AIS369" s="377"/>
      <c r="AIT369" s="88"/>
      <c r="AIU369" s="88"/>
      <c r="AIW369" s="377"/>
      <c r="AIX369" s="88"/>
      <c r="AIY369" s="88"/>
      <c r="AJA369" s="377"/>
      <c r="AJB369" s="88"/>
      <c r="AJC369" s="88"/>
      <c r="AJE369" s="377"/>
      <c r="AJF369" s="88"/>
      <c r="AJG369" s="88"/>
      <c r="AJI369" s="377"/>
      <c r="AJJ369" s="88"/>
      <c r="AJK369" s="88"/>
      <c r="AJM369" s="377"/>
      <c r="AJN369" s="88"/>
      <c r="AJO369" s="88"/>
      <c r="AJQ369" s="377"/>
      <c r="AJR369" s="88"/>
      <c r="AJS369" s="88"/>
      <c r="AJU369" s="377"/>
      <c r="AJV369" s="88"/>
      <c r="AJW369" s="88"/>
      <c r="AJY369" s="377"/>
      <c r="AJZ369" s="88"/>
      <c r="AKA369" s="88"/>
      <c r="AKC369" s="377"/>
      <c r="AKD369" s="88"/>
      <c r="AKE369" s="88"/>
      <c r="AKG369" s="377"/>
      <c r="AKH369" s="88"/>
      <c r="AKI369" s="88"/>
      <c r="AKK369" s="377"/>
      <c r="AKL369" s="88"/>
      <c r="AKM369" s="88"/>
      <c r="AKO369" s="377"/>
      <c r="AKP369" s="88"/>
      <c r="AKQ369" s="88"/>
      <c r="AKS369" s="377"/>
      <c r="AKT369" s="88"/>
      <c r="AKU369" s="88"/>
      <c r="AKW369" s="377"/>
      <c r="AKX369" s="88"/>
      <c r="AKY369" s="88"/>
      <c r="ALA369" s="377"/>
      <c r="ALB369" s="88"/>
      <c r="ALC369" s="88"/>
      <c r="ALE369" s="377"/>
      <c r="ALF369" s="88"/>
      <c r="ALG369" s="88"/>
      <c r="ALI369" s="377"/>
      <c r="ALJ369" s="88"/>
      <c r="ALK369" s="88"/>
      <c r="ALM369" s="377"/>
      <c r="ALN369" s="88"/>
      <c r="ALO369" s="88"/>
      <c r="ALQ369" s="377"/>
      <c r="ALR369" s="88"/>
      <c r="ALS369" s="88"/>
      <c r="ALU369" s="377"/>
      <c r="ALV369" s="88"/>
      <c r="ALW369" s="88"/>
      <c r="ALY369" s="377"/>
      <c r="ALZ369" s="88"/>
      <c r="AMA369" s="88"/>
      <c r="AMC369" s="377"/>
      <c r="AMD369" s="88"/>
      <c r="AME369" s="88"/>
      <c r="AMG369" s="377"/>
      <c r="AMH369" s="88"/>
      <c r="AMI369" s="88"/>
      <c r="AMK369" s="377"/>
      <c r="AML369" s="88"/>
      <c r="AMM369" s="88"/>
      <c r="AMO369" s="377"/>
      <c r="AMP369" s="88"/>
      <c r="AMQ369" s="88"/>
      <c r="AMS369" s="377"/>
      <c r="AMT369" s="88"/>
      <c r="AMU369" s="88"/>
      <c r="AMW369" s="377"/>
      <c r="AMX369" s="88"/>
      <c r="AMY369" s="88"/>
      <c r="ANA369" s="377"/>
      <c r="ANB369" s="88"/>
      <c r="ANC369" s="88"/>
      <c r="ANE369" s="377"/>
      <c r="ANF369" s="88"/>
      <c r="ANG369" s="88"/>
      <c r="ANI369" s="377"/>
      <c r="ANJ369" s="88"/>
      <c r="ANK369" s="88"/>
      <c r="ANM369" s="377"/>
      <c r="ANN369" s="88"/>
      <c r="ANO369" s="88"/>
      <c r="ANQ369" s="377"/>
      <c r="ANR369" s="88"/>
      <c r="ANS369" s="88"/>
      <c r="ANU369" s="377"/>
      <c r="ANV369" s="88"/>
      <c r="ANW369" s="88"/>
      <c r="ANY369" s="377"/>
      <c r="ANZ369" s="88"/>
      <c r="AOA369" s="88"/>
      <c r="AOC369" s="377"/>
      <c r="AOD369" s="88"/>
      <c r="AOE369" s="88"/>
      <c r="AOG369" s="377"/>
      <c r="AOH369" s="88"/>
      <c r="AOI369" s="88"/>
      <c r="AOK369" s="377"/>
      <c r="AOL369" s="88"/>
      <c r="AOM369" s="88"/>
      <c r="AOO369" s="377"/>
      <c r="AOP369" s="88"/>
      <c r="AOQ369" s="88"/>
      <c r="AOS369" s="377"/>
      <c r="AOT369" s="88"/>
      <c r="AOU369" s="88"/>
      <c r="AOW369" s="377"/>
      <c r="AOX369" s="88"/>
      <c r="AOY369" s="88"/>
      <c r="APA369" s="377"/>
      <c r="APB369" s="88"/>
      <c r="APC369" s="88"/>
      <c r="APE369" s="377"/>
      <c r="APF369" s="88"/>
      <c r="APG369" s="88"/>
      <c r="API369" s="377"/>
      <c r="APJ369" s="88"/>
      <c r="APK369" s="88"/>
      <c r="APM369" s="377"/>
      <c r="APN369" s="88"/>
      <c r="APO369" s="88"/>
      <c r="APQ369" s="377"/>
      <c r="APR369" s="88"/>
      <c r="APS369" s="88"/>
      <c r="APU369" s="377"/>
      <c r="APV369" s="88"/>
      <c r="APW369" s="88"/>
      <c r="APY369" s="377"/>
      <c r="APZ369" s="88"/>
      <c r="AQA369" s="88"/>
      <c r="AQC369" s="377"/>
      <c r="AQD369" s="88"/>
      <c r="AQE369" s="88"/>
      <c r="AQG369" s="377"/>
      <c r="AQH369" s="88"/>
      <c r="AQI369" s="88"/>
      <c r="AQK369" s="377"/>
      <c r="AQL369" s="88"/>
      <c r="AQM369" s="88"/>
      <c r="AQO369" s="377"/>
      <c r="AQP369" s="88"/>
      <c r="AQQ369" s="88"/>
      <c r="AQS369" s="377"/>
      <c r="AQT369" s="88"/>
      <c r="AQU369" s="88"/>
      <c r="AQW369" s="377"/>
      <c r="AQX369" s="88"/>
      <c r="AQY369" s="88"/>
      <c r="ARA369" s="377"/>
      <c r="ARB369" s="88"/>
      <c r="ARC369" s="88"/>
      <c r="ARE369" s="377"/>
      <c r="ARF369" s="88"/>
      <c r="ARG369" s="88"/>
      <c r="ARI369" s="377"/>
      <c r="ARJ369" s="88"/>
      <c r="ARK369" s="88"/>
      <c r="ARM369" s="377"/>
      <c r="ARN369" s="88"/>
      <c r="ARO369" s="88"/>
      <c r="ARQ369" s="377"/>
      <c r="ARR369" s="88"/>
      <c r="ARS369" s="88"/>
      <c r="ARU369" s="377"/>
      <c r="ARV369" s="88"/>
      <c r="ARW369" s="88"/>
      <c r="ARY369" s="377"/>
      <c r="ARZ369" s="88"/>
      <c r="ASA369" s="88"/>
      <c r="ASC369" s="377"/>
      <c r="ASD369" s="88"/>
      <c r="ASE369" s="88"/>
      <c r="ASG369" s="377"/>
      <c r="ASH369" s="88"/>
      <c r="ASI369" s="88"/>
      <c r="ASK369" s="377"/>
      <c r="ASL369" s="88"/>
      <c r="ASM369" s="88"/>
      <c r="ASO369" s="377"/>
      <c r="ASP369" s="88"/>
      <c r="ASQ369" s="88"/>
      <c r="ASS369" s="377"/>
      <c r="AST369" s="88"/>
      <c r="ASU369" s="88"/>
      <c r="ASW369" s="377"/>
      <c r="ASX369" s="88"/>
      <c r="ASY369" s="88"/>
      <c r="ATA369" s="377"/>
      <c r="ATB369" s="88"/>
      <c r="ATC369" s="88"/>
      <c r="ATE369" s="377"/>
      <c r="ATF369" s="88"/>
      <c r="ATG369" s="88"/>
      <c r="ATI369" s="377"/>
      <c r="ATJ369" s="88"/>
      <c r="ATK369" s="88"/>
      <c r="ATM369" s="377"/>
      <c r="ATN369" s="88"/>
      <c r="ATO369" s="88"/>
      <c r="ATQ369" s="377"/>
      <c r="ATR369" s="88"/>
      <c r="ATS369" s="88"/>
      <c r="ATU369" s="377"/>
      <c r="ATV369" s="88"/>
      <c r="ATW369" s="88"/>
      <c r="ATY369" s="377"/>
      <c r="ATZ369" s="88"/>
      <c r="AUA369" s="88"/>
      <c r="AUC369" s="377"/>
      <c r="AUD369" s="88"/>
      <c r="AUE369" s="88"/>
      <c r="AUG369" s="377"/>
      <c r="AUH369" s="88"/>
      <c r="AUI369" s="88"/>
      <c r="AUK369" s="377"/>
      <c r="AUL369" s="88"/>
      <c r="AUM369" s="88"/>
      <c r="AUO369" s="377"/>
      <c r="AUP369" s="88"/>
      <c r="AUQ369" s="88"/>
      <c r="AUS369" s="377"/>
      <c r="AUT369" s="88"/>
      <c r="AUU369" s="88"/>
      <c r="AUW369" s="377"/>
      <c r="AUX369" s="88"/>
      <c r="AUY369" s="88"/>
      <c r="AVA369" s="377"/>
      <c r="AVB369" s="88"/>
      <c r="AVC369" s="88"/>
      <c r="AVE369" s="377"/>
      <c r="AVF369" s="88"/>
      <c r="AVG369" s="88"/>
      <c r="AVI369" s="377"/>
      <c r="AVJ369" s="88"/>
      <c r="AVK369" s="88"/>
      <c r="AVM369" s="377"/>
      <c r="AVN369" s="88"/>
      <c r="AVO369" s="88"/>
      <c r="AVQ369" s="377"/>
      <c r="AVR369" s="88"/>
      <c r="AVS369" s="88"/>
      <c r="AVU369" s="377"/>
      <c r="AVV369" s="88"/>
      <c r="AVW369" s="88"/>
      <c r="AVY369" s="377"/>
      <c r="AVZ369" s="88"/>
      <c r="AWA369" s="88"/>
      <c r="AWC369" s="377"/>
      <c r="AWD369" s="88"/>
      <c r="AWE369" s="88"/>
      <c r="AWG369" s="377"/>
      <c r="AWH369" s="88"/>
      <c r="AWI369" s="88"/>
      <c r="AWK369" s="377"/>
      <c r="AWL369" s="88"/>
      <c r="AWM369" s="88"/>
      <c r="AWO369" s="377"/>
      <c r="AWP369" s="88"/>
      <c r="AWQ369" s="88"/>
      <c r="AWS369" s="377"/>
      <c r="AWT369" s="88"/>
      <c r="AWU369" s="88"/>
      <c r="AWW369" s="377"/>
      <c r="AWX369" s="88"/>
      <c r="AWY369" s="88"/>
      <c r="AXA369" s="377"/>
      <c r="AXB369" s="88"/>
      <c r="AXC369" s="88"/>
      <c r="AXE369" s="377"/>
      <c r="AXF369" s="88"/>
      <c r="AXG369" s="88"/>
      <c r="AXI369" s="377"/>
      <c r="AXJ369" s="88"/>
      <c r="AXK369" s="88"/>
      <c r="AXM369" s="377"/>
      <c r="AXN369" s="88"/>
      <c r="AXO369" s="88"/>
      <c r="AXQ369" s="377"/>
      <c r="AXR369" s="88"/>
      <c r="AXS369" s="88"/>
      <c r="AXU369" s="377"/>
      <c r="AXV369" s="88"/>
      <c r="AXW369" s="88"/>
      <c r="AXY369" s="377"/>
      <c r="AXZ369" s="88"/>
      <c r="AYA369" s="88"/>
      <c r="AYC369" s="377"/>
      <c r="AYD369" s="88"/>
      <c r="AYE369" s="88"/>
      <c r="AYG369" s="377"/>
      <c r="AYH369" s="88"/>
      <c r="AYI369" s="88"/>
      <c r="AYK369" s="377"/>
      <c r="AYL369" s="88"/>
      <c r="AYM369" s="88"/>
      <c r="AYO369" s="377"/>
      <c r="AYP369" s="88"/>
      <c r="AYQ369" s="88"/>
      <c r="AYS369" s="377"/>
      <c r="AYT369" s="88"/>
      <c r="AYU369" s="88"/>
      <c r="AYW369" s="377"/>
      <c r="AYX369" s="88"/>
      <c r="AYY369" s="88"/>
      <c r="AZA369" s="377"/>
      <c r="AZB369" s="88"/>
      <c r="AZC369" s="88"/>
      <c r="AZE369" s="377"/>
      <c r="AZF369" s="88"/>
      <c r="AZG369" s="88"/>
      <c r="AZI369" s="377"/>
      <c r="AZJ369" s="88"/>
      <c r="AZK369" s="88"/>
      <c r="AZM369" s="377"/>
      <c r="AZN369" s="88"/>
      <c r="AZO369" s="88"/>
      <c r="AZQ369" s="377"/>
      <c r="AZR369" s="88"/>
      <c r="AZS369" s="88"/>
      <c r="AZU369" s="377"/>
      <c r="AZV369" s="88"/>
      <c r="AZW369" s="88"/>
      <c r="AZY369" s="377"/>
      <c r="AZZ369" s="88"/>
      <c r="BAA369" s="88"/>
      <c r="BAC369" s="377"/>
      <c r="BAD369" s="88"/>
      <c r="BAE369" s="88"/>
      <c r="BAG369" s="377"/>
      <c r="BAH369" s="88"/>
      <c r="BAI369" s="88"/>
      <c r="BAK369" s="377"/>
      <c r="BAL369" s="88"/>
      <c r="BAM369" s="88"/>
      <c r="BAO369" s="377"/>
      <c r="BAP369" s="88"/>
      <c r="BAQ369" s="88"/>
      <c r="BAS369" s="377"/>
      <c r="BAT369" s="88"/>
      <c r="BAU369" s="88"/>
      <c r="BAW369" s="377"/>
      <c r="BAX369" s="88"/>
      <c r="BAY369" s="88"/>
      <c r="BBA369" s="377"/>
      <c r="BBB369" s="88"/>
      <c r="BBC369" s="88"/>
      <c r="BBE369" s="377"/>
      <c r="BBF369" s="88"/>
      <c r="BBG369" s="88"/>
      <c r="BBI369" s="377"/>
      <c r="BBJ369" s="88"/>
      <c r="BBK369" s="88"/>
      <c r="BBM369" s="377"/>
      <c r="BBN369" s="88"/>
      <c r="BBO369" s="88"/>
      <c r="BBQ369" s="377"/>
      <c r="BBR369" s="88"/>
      <c r="BBS369" s="88"/>
      <c r="BBU369" s="377"/>
      <c r="BBV369" s="88"/>
      <c r="BBW369" s="88"/>
      <c r="BBY369" s="377"/>
      <c r="BBZ369" s="88"/>
      <c r="BCA369" s="88"/>
      <c r="BCC369" s="377"/>
      <c r="BCD369" s="88"/>
      <c r="BCE369" s="88"/>
      <c r="BCG369" s="377"/>
      <c r="BCH369" s="88"/>
      <c r="BCI369" s="88"/>
      <c r="BCK369" s="377"/>
      <c r="BCL369" s="88"/>
      <c r="BCM369" s="88"/>
      <c r="BCO369" s="377"/>
      <c r="BCP369" s="88"/>
      <c r="BCQ369" s="88"/>
      <c r="BCS369" s="377"/>
      <c r="BCT369" s="88"/>
      <c r="BCU369" s="88"/>
      <c r="BCW369" s="377"/>
      <c r="BCX369" s="88"/>
      <c r="BCY369" s="88"/>
      <c r="BDA369" s="377"/>
      <c r="BDB369" s="88"/>
      <c r="BDC369" s="88"/>
      <c r="BDE369" s="377"/>
      <c r="BDF369" s="88"/>
      <c r="BDG369" s="88"/>
      <c r="BDI369" s="377"/>
      <c r="BDJ369" s="88"/>
      <c r="BDK369" s="88"/>
      <c r="BDM369" s="377"/>
      <c r="BDN369" s="88"/>
      <c r="BDO369" s="88"/>
      <c r="BDQ369" s="377"/>
      <c r="BDR369" s="88"/>
      <c r="BDS369" s="88"/>
      <c r="BDU369" s="377"/>
      <c r="BDV369" s="88"/>
      <c r="BDW369" s="88"/>
      <c r="BDY369" s="377"/>
      <c r="BDZ369" s="88"/>
      <c r="BEA369" s="88"/>
      <c r="BEC369" s="377"/>
      <c r="BED369" s="88"/>
      <c r="BEE369" s="88"/>
      <c r="BEG369" s="377"/>
      <c r="BEH369" s="88"/>
      <c r="BEI369" s="88"/>
      <c r="BEK369" s="377"/>
      <c r="BEL369" s="88"/>
      <c r="BEM369" s="88"/>
      <c r="BEO369" s="377"/>
      <c r="BEP369" s="88"/>
      <c r="BEQ369" s="88"/>
      <c r="BES369" s="377"/>
      <c r="BET369" s="88"/>
      <c r="BEU369" s="88"/>
      <c r="BEW369" s="377"/>
      <c r="BEX369" s="88"/>
      <c r="BEY369" s="88"/>
      <c r="BFA369" s="377"/>
      <c r="BFB369" s="88"/>
      <c r="BFC369" s="88"/>
      <c r="BFE369" s="377"/>
      <c r="BFF369" s="88"/>
      <c r="BFG369" s="88"/>
      <c r="BFI369" s="377"/>
      <c r="BFJ369" s="88"/>
      <c r="BFK369" s="88"/>
      <c r="BFM369" s="377"/>
      <c r="BFN369" s="88"/>
      <c r="BFO369" s="88"/>
      <c r="BFQ369" s="377"/>
      <c r="BFR369" s="88"/>
      <c r="BFS369" s="88"/>
      <c r="BFU369" s="377"/>
      <c r="BFV369" s="88"/>
      <c r="BFW369" s="88"/>
      <c r="BFY369" s="377"/>
      <c r="BFZ369" s="88"/>
      <c r="BGA369" s="88"/>
      <c r="BGC369" s="377"/>
      <c r="BGD369" s="88"/>
      <c r="BGE369" s="88"/>
      <c r="BGG369" s="377"/>
      <c r="BGH369" s="88"/>
      <c r="BGI369" s="88"/>
      <c r="BGK369" s="377"/>
      <c r="BGL369" s="88"/>
      <c r="BGM369" s="88"/>
      <c r="BGO369" s="377"/>
      <c r="BGP369" s="88"/>
      <c r="BGQ369" s="88"/>
      <c r="BGS369" s="377"/>
      <c r="BGT369" s="88"/>
      <c r="BGU369" s="88"/>
      <c r="BGW369" s="377"/>
      <c r="BGX369" s="88"/>
      <c r="BGY369" s="88"/>
      <c r="BHA369" s="377"/>
      <c r="BHB369" s="88"/>
      <c r="BHC369" s="88"/>
      <c r="BHE369" s="377"/>
      <c r="BHF369" s="88"/>
      <c r="BHG369" s="88"/>
      <c r="BHI369" s="377"/>
      <c r="BHJ369" s="88"/>
      <c r="BHK369" s="88"/>
      <c r="BHM369" s="377"/>
      <c r="BHN369" s="88"/>
      <c r="BHO369" s="88"/>
      <c r="BHQ369" s="377"/>
      <c r="BHR369" s="88"/>
      <c r="BHS369" s="88"/>
      <c r="BHU369" s="377"/>
      <c r="BHV369" s="88"/>
      <c r="BHW369" s="88"/>
      <c r="BHY369" s="377"/>
      <c r="BHZ369" s="88"/>
      <c r="BIA369" s="88"/>
      <c r="BIC369" s="377"/>
      <c r="BID369" s="88"/>
      <c r="BIE369" s="88"/>
      <c r="BIG369" s="377"/>
      <c r="BIH369" s="88"/>
      <c r="BII369" s="88"/>
      <c r="BIK369" s="377"/>
      <c r="BIL369" s="88"/>
      <c r="BIM369" s="88"/>
      <c r="BIO369" s="377"/>
      <c r="BIP369" s="88"/>
      <c r="BIQ369" s="88"/>
      <c r="BIS369" s="377"/>
      <c r="BIT369" s="88"/>
      <c r="BIU369" s="88"/>
      <c r="BIW369" s="377"/>
      <c r="BIX369" s="88"/>
      <c r="BIY369" s="88"/>
      <c r="BJA369" s="377"/>
      <c r="BJB369" s="88"/>
      <c r="BJC369" s="88"/>
      <c r="BJE369" s="377"/>
      <c r="BJF369" s="88"/>
      <c r="BJG369" s="88"/>
      <c r="BJI369" s="377"/>
      <c r="BJJ369" s="88"/>
      <c r="BJK369" s="88"/>
      <c r="BJM369" s="377"/>
      <c r="BJN369" s="88"/>
      <c r="BJO369" s="88"/>
      <c r="BJQ369" s="377"/>
      <c r="BJR369" s="88"/>
      <c r="BJS369" s="88"/>
      <c r="BJU369" s="377"/>
      <c r="BJV369" s="88"/>
      <c r="BJW369" s="88"/>
      <c r="BJY369" s="377"/>
      <c r="BJZ369" s="88"/>
      <c r="BKA369" s="88"/>
      <c r="BKC369" s="377"/>
      <c r="BKD369" s="88"/>
      <c r="BKE369" s="88"/>
      <c r="BKG369" s="377"/>
      <c r="BKH369" s="88"/>
      <c r="BKI369" s="88"/>
      <c r="BKK369" s="377"/>
      <c r="BKL369" s="88"/>
      <c r="BKM369" s="88"/>
      <c r="BKO369" s="377"/>
      <c r="BKP369" s="88"/>
      <c r="BKQ369" s="88"/>
      <c r="BKS369" s="377"/>
      <c r="BKT369" s="88"/>
      <c r="BKU369" s="88"/>
      <c r="BKW369" s="377"/>
      <c r="BKX369" s="88"/>
      <c r="BKY369" s="88"/>
      <c r="BLA369" s="377"/>
      <c r="BLB369" s="88"/>
      <c r="BLC369" s="88"/>
      <c r="BLE369" s="377"/>
      <c r="BLF369" s="88"/>
      <c r="BLG369" s="88"/>
      <c r="BLI369" s="377"/>
      <c r="BLJ369" s="88"/>
      <c r="BLK369" s="88"/>
      <c r="BLM369" s="377"/>
      <c r="BLN369" s="88"/>
      <c r="BLO369" s="88"/>
      <c r="BLQ369" s="377"/>
      <c r="BLR369" s="88"/>
      <c r="BLS369" s="88"/>
      <c r="BLU369" s="377"/>
      <c r="BLV369" s="88"/>
      <c r="BLW369" s="88"/>
      <c r="BLY369" s="377"/>
      <c r="BLZ369" s="88"/>
      <c r="BMA369" s="88"/>
      <c r="BMC369" s="377"/>
      <c r="BMD369" s="88"/>
      <c r="BME369" s="88"/>
      <c r="BMG369" s="377"/>
      <c r="BMH369" s="88"/>
      <c r="BMI369" s="88"/>
      <c r="BMK369" s="377"/>
      <c r="BML369" s="88"/>
      <c r="BMM369" s="88"/>
      <c r="BMO369" s="377"/>
      <c r="BMP369" s="88"/>
      <c r="BMQ369" s="88"/>
      <c r="BMS369" s="377"/>
      <c r="BMT369" s="88"/>
      <c r="BMU369" s="88"/>
      <c r="BMW369" s="377"/>
      <c r="BMX369" s="88"/>
      <c r="BMY369" s="88"/>
      <c r="BNA369" s="377"/>
      <c r="BNB369" s="88"/>
      <c r="BNC369" s="88"/>
      <c r="BNE369" s="377"/>
      <c r="BNF369" s="88"/>
      <c r="BNG369" s="88"/>
      <c r="BNI369" s="377"/>
      <c r="BNJ369" s="88"/>
      <c r="BNK369" s="88"/>
      <c r="BNM369" s="377"/>
      <c r="BNN369" s="88"/>
      <c r="BNO369" s="88"/>
      <c r="BNQ369" s="377"/>
      <c r="BNR369" s="88"/>
      <c r="BNS369" s="88"/>
      <c r="BNU369" s="377"/>
      <c r="BNV369" s="88"/>
      <c r="BNW369" s="88"/>
      <c r="BNY369" s="377"/>
      <c r="BNZ369" s="88"/>
      <c r="BOA369" s="88"/>
      <c r="BOC369" s="377"/>
      <c r="BOD369" s="88"/>
      <c r="BOE369" s="88"/>
      <c r="BOG369" s="377"/>
      <c r="BOH369" s="88"/>
      <c r="BOI369" s="88"/>
      <c r="BOK369" s="377"/>
      <c r="BOL369" s="88"/>
      <c r="BOM369" s="88"/>
      <c r="BOO369" s="377"/>
      <c r="BOP369" s="88"/>
      <c r="BOQ369" s="88"/>
      <c r="BOS369" s="377"/>
      <c r="BOT369" s="88"/>
      <c r="BOU369" s="88"/>
      <c r="BOW369" s="377"/>
      <c r="BOX369" s="88"/>
      <c r="BOY369" s="88"/>
      <c r="BPA369" s="377"/>
      <c r="BPB369" s="88"/>
      <c r="BPC369" s="88"/>
      <c r="BPE369" s="377"/>
      <c r="BPF369" s="88"/>
      <c r="BPG369" s="88"/>
      <c r="BPI369" s="377"/>
      <c r="BPJ369" s="88"/>
      <c r="BPK369" s="88"/>
      <c r="BPM369" s="377"/>
      <c r="BPN369" s="88"/>
      <c r="BPO369" s="88"/>
      <c r="BPQ369" s="377"/>
      <c r="BPR369" s="88"/>
      <c r="BPS369" s="88"/>
      <c r="BPU369" s="377"/>
      <c r="BPV369" s="88"/>
      <c r="BPW369" s="88"/>
      <c r="BPY369" s="377"/>
      <c r="BPZ369" s="88"/>
      <c r="BQA369" s="88"/>
      <c r="BQC369" s="377"/>
      <c r="BQD369" s="88"/>
      <c r="BQE369" s="88"/>
      <c r="BQG369" s="377"/>
      <c r="BQH369" s="88"/>
      <c r="BQI369" s="88"/>
      <c r="BQK369" s="377"/>
      <c r="BQL369" s="88"/>
      <c r="BQM369" s="88"/>
      <c r="BQO369" s="377"/>
      <c r="BQP369" s="88"/>
      <c r="BQQ369" s="88"/>
      <c r="BQS369" s="377"/>
      <c r="BQT369" s="88"/>
      <c r="BQU369" s="88"/>
      <c r="BQW369" s="377"/>
      <c r="BQX369" s="88"/>
      <c r="BQY369" s="88"/>
      <c r="BRA369" s="377"/>
      <c r="BRB369" s="88"/>
      <c r="BRC369" s="88"/>
      <c r="BRE369" s="377"/>
      <c r="BRF369" s="88"/>
      <c r="BRG369" s="88"/>
      <c r="BRI369" s="377"/>
      <c r="BRJ369" s="88"/>
      <c r="BRK369" s="88"/>
      <c r="BRM369" s="377"/>
      <c r="BRN369" s="88"/>
      <c r="BRO369" s="88"/>
      <c r="BRQ369" s="377"/>
      <c r="BRR369" s="88"/>
      <c r="BRS369" s="88"/>
      <c r="BRU369" s="377"/>
      <c r="BRV369" s="88"/>
      <c r="BRW369" s="88"/>
      <c r="BRY369" s="377"/>
      <c r="BRZ369" s="88"/>
      <c r="BSA369" s="88"/>
      <c r="BSC369" s="377"/>
      <c r="BSD369" s="88"/>
      <c r="BSE369" s="88"/>
      <c r="BSG369" s="377"/>
      <c r="BSH369" s="88"/>
      <c r="BSI369" s="88"/>
      <c r="BSK369" s="377"/>
      <c r="BSL369" s="88"/>
      <c r="BSM369" s="88"/>
      <c r="BSO369" s="377"/>
      <c r="BSP369" s="88"/>
      <c r="BSQ369" s="88"/>
      <c r="BSS369" s="377"/>
      <c r="BST369" s="88"/>
      <c r="BSU369" s="88"/>
      <c r="BSW369" s="377"/>
      <c r="BSX369" s="88"/>
      <c r="BSY369" s="88"/>
      <c r="BTA369" s="377"/>
      <c r="BTB369" s="88"/>
      <c r="BTC369" s="88"/>
      <c r="BTE369" s="377"/>
      <c r="BTF369" s="88"/>
      <c r="BTG369" s="88"/>
      <c r="BTI369" s="377"/>
      <c r="BTJ369" s="88"/>
      <c r="BTK369" s="88"/>
      <c r="BTM369" s="377"/>
      <c r="BTN369" s="88"/>
      <c r="BTO369" s="88"/>
      <c r="BTQ369" s="377"/>
      <c r="BTR369" s="88"/>
      <c r="BTS369" s="88"/>
      <c r="BTU369" s="377"/>
      <c r="BTV369" s="88"/>
      <c r="BTW369" s="88"/>
      <c r="BTY369" s="377"/>
      <c r="BTZ369" s="88"/>
      <c r="BUA369" s="88"/>
      <c r="BUC369" s="377"/>
      <c r="BUD369" s="88"/>
      <c r="BUE369" s="88"/>
      <c r="BUG369" s="377"/>
      <c r="BUH369" s="88"/>
      <c r="BUI369" s="88"/>
      <c r="BUK369" s="377"/>
      <c r="BUL369" s="88"/>
      <c r="BUM369" s="88"/>
      <c r="BUO369" s="377"/>
      <c r="BUP369" s="88"/>
      <c r="BUQ369" s="88"/>
      <c r="BUS369" s="377"/>
      <c r="BUT369" s="88"/>
      <c r="BUU369" s="88"/>
      <c r="BUW369" s="377"/>
      <c r="BUX369" s="88"/>
      <c r="BUY369" s="88"/>
      <c r="BVA369" s="377"/>
      <c r="BVB369" s="88"/>
      <c r="BVC369" s="88"/>
      <c r="BVE369" s="377"/>
      <c r="BVF369" s="88"/>
      <c r="BVG369" s="88"/>
      <c r="BVI369" s="377"/>
      <c r="BVJ369" s="88"/>
      <c r="BVK369" s="88"/>
      <c r="BVM369" s="377"/>
      <c r="BVN369" s="88"/>
      <c r="BVO369" s="88"/>
      <c r="BVQ369" s="377"/>
      <c r="BVR369" s="88"/>
      <c r="BVS369" s="88"/>
      <c r="BVU369" s="377"/>
      <c r="BVV369" s="88"/>
      <c r="BVW369" s="88"/>
      <c r="BVY369" s="377"/>
      <c r="BVZ369" s="88"/>
      <c r="BWA369" s="88"/>
      <c r="BWC369" s="377"/>
      <c r="BWD369" s="88"/>
      <c r="BWE369" s="88"/>
      <c r="BWG369" s="377"/>
      <c r="BWH369" s="88"/>
      <c r="BWI369" s="88"/>
      <c r="BWK369" s="377"/>
      <c r="BWL369" s="88"/>
      <c r="BWM369" s="88"/>
      <c r="BWO369" s="377"/>
      <c r="BWP369" s="88"/>
      <c r="BWQ369" s="88"/>
      <c r="BWS369" s="377"/>
      <c r="BWT369" s="88"/>
      <c r="BWU369" s="88"/>
      <c r="BWW369" s="377"/>
      <c r="BWX369" s="88"/>
      <c r="BWY369" s="88"/>
      <c r="BXA369" s="377"/>
      <c r="BXB369" s="88"/>
      <c r="BXC369" s="88"/>
      <c r="BXE369" s="377"/>
      <c r="BXF369" s="88"/>
      <c r="BXG369" s="88"/>
      <c r="BXI369" s="377"/>
      <c r="BXJ369" s="88"/>
      <c r="BXK369" s="88"/>
      <c r="BXM369" s="377"/>
      <c r="BXN369" s="88"/>
      <c r="BXO369" s="88"/>
      <c r="BXQ369" s="377"/>
      <c r="BXR369" s="88"/>
      <c r="BXS369" s="88"/>
      <c r="BXU369" s="377"/>
      <c r="BXV369" s="88"/>
      <c r="BXW369" s="88"/>
      <c r="BXY369" s="377"/>
      <c r="BXZ369" s="88"/>
      <c r="BYA369" s="88"/>
      <c r="BYC369" s="377"/>
      <c r="BYD369" s="88"/>
      <c r="BYE369" s="88"/>
      <c r="BYG369" s="377"/>
      <c r="BYH369" s="88"/>
      <c r="BYI369" s="88"/>
      <c r="BYK369" s="377"/>
      <c r="BYL369" s="88"/>
      <c r="BYM369" s="88"/>
      <c r="BYO369" s="377"/>
      <c r="BYP369" s="88"/>
      <c r="BYQ369" s="88"/>
      <c r="BYS369" s="377"/>
      <c r="BYT369" s="88"/>
      <c r="BYU369" s="88"/>
      <c r="BYW369" s="377"/>
      <c r="BYX369" s="88"/>
      <c r="BYY369" s="88"/>
      <c r="BZA369" s="377"/>
      <c r="BZB369" s="88"/>
      <c r="BZC369" s="88"/>
      <c r="BZE369" s="377"/>
      <c r="BZF369" s="88"/>
      <c r="BZG369" s="88"/>
      <c r="BZI369" s="377"/>
      <c r="BZJ369" s="88"/>
      <c r="BZK369" s="88"/>
      <c r="BZM369" s="377"/>
      <c r="BZN369" s="88"/>
      <c r="BZO369" s="88"/>
      <c r="BZQ369" s="377"/>
      <c r="BZR369" s="88"/>
      <c r="BZS369" s="88"/>
      <c r="BZU369" s="377"/>
      <c r="BZV369" s="88"/>
      <c r="BZW369" s="88"/>
      <c r="BZY369" s="377"/>
      <c r="BZZ369" s="88"/>
      <c r="CAA369" s="88"/>
      <c r="CAC369" s="377"/>
      <c r="CAD369" s="88"/>
      <c r="CAE369" s="88"/>
      <c r="CAG369" s="377"/>
      <c r="CAH369" s="88"/>
      <c r="CAI369" s="88"/>
      <c r="CAK369" s="377"/>
      <c r="CAL369" s="88"/>
      <c r="CAM369" s="88"/>
      <c r="CAO369" s="377"/>
      <c r="CAP369" s="88"/>
      <c r="CAQ369" s="88"/>
      <c r="CAS369" s="377"/>
      <c r="CAT369" s="88"/>
      <c r="CAU369" s="88"/>
      <c r="CAW369" s="377"/>
      <c r="CAX369" s="88"/>
      <c r="CAY369" s="88"/>
      <c r="CBA369" s="377"/>
      <c r="CBB369" s="88"/>
      <c r="CBC369" s="88"/>
      <c r="CBE369" s="377"/>
      <c r="CBF369" s="88"/>
      <c r="CBG369" s="88"/>
      <c r="CBI369" s="377"/>
      <c r="CBJ369" s="88"/>
      <c r="CBK369" s="88"/>
      <c r="CBM369" s="377"/>
      <c r="CBN369" s="88"/>
      <c r="CBO369" s="88"/>
      <c r="CBQ369" s="377"/>
      <c r="CBR369" s="88"/>
      <c r="CBS369" s="88"/>
      <c r="CBU369" s="377"/>
      <c r="CBV369" s="88"/>
      <c r="CBW369" s="88"/>
      <c r="CBY369" s="377"/>
      <c r="CBZ369" s="88"/>
      <c r="CCA369" s="88"/>
      <c r="CCC369" s="377"/>
      <c r="CCD369" s="88"/>
      <c r="CCE369" s="88"/>
      <c r="CCG369" s="377"/>
      <c r="CCH369" s="88"/>
      <c r="CCI369" s="88"/>
      <c r="CCK369" s="377"/>
      <c r="CCL369" s="88"/>
      <c r="CCM369" s="88"/>
      <c r="CCO369" s="377"/>
      <c r="CCP369" s="88"/>
      <c r="CCQ369" s="88"/>
      <c r="CCS369" s="377"/>
      <c r="CCT369" s="88"/>
      <c r="CCU369" s="88"/>
      <c r="CCW369" s="377"/>
      <c r="CCX369" s="88"/>
      <c r="CCY369" s="88"/>
      <c r="CDA369" s="377"/>
      <c r="CDB369" s="88"/>
      <c r="CDC369" s="88"/>
      <c r="CDE369" s="377"/>
      <c r="CDF369" s="88"/>
      <c r="CDG369" s="88"/>
      <c r="CDI369" s="377"/>
      <c r="CDJ369" s="88"/>
      <c r="CDK369" s="88"/>
      <c r="CDM369" s="377"/>
      <c r="CDN369" s="88"/>
      <c r="CDO369" s="88"/>
      <c r="CDQ369" s="377"/>
      <c r="CDR369" s="88"/>
      <c r="CDS369" s="88"/>
      <c r="CDU369" s="377"/>
      <c r="CDV369" s="88"/>
      <c r="CDW369" s="88"/>
      <c r="CDY369" s="377"/>
      <c r="CDZ369" s="88"/>
      <c r="CEA369" s="88"/>
      <c r="CEC369" s="377"/>
      <c r="CED369" s="88"/>
      <c r="CEE369" s="88"/>
      <c r="CEG369" s="377"/>
      <c r="CEH369" s="88"/>
      <c r="CEI369" s="88"/>
      <c r="CEK369" s="377"/>
      <c r="CEL369" s="88"/>
      <c r="CEM369" s="88"/>
      <c r="CEO369" s="377"/>
      <c r="CEP369" s="88"/>
      <c r="CEQ369" s="88"/>
      <c r="CES369" s="377"/>
      <c r="CET369" s="88"/>
      <c r="CEU369" s="88"/>
      <c r="CEW369" s="377"/>
      <c r="CEX369" s="88"/>
      <c r="CEY369" s="88"/>
      <c r="CFA369" s="377"/>
      <c r="CFB369" s="88"/>
      <c r="CFC369" s="88"/>
      <c r="CFE369" s="377"/>
      <c r="CFF369" s="88"/>
      <c r="CFG369" s="88"/>
      <c r="CFI369" s="377"/>
      <c r="CFJ369" s="88"/>
      <c r="CFK369" s="88"/>
      <c r="CFM369" s="377"/>
      <c r="CFN369" s="88"/>
      <c r="CFO369" s="88"/>
      <c r="CFQ369" s="377"/>
      <c r="CFR369" s="88"/>
      <c r="CFS369" s="88"/>
      <c r="CFU369" s="377"/>
      <c r="CFV369" s="88"/>
      <c r="CFW369" s="88"/>
      <c r="CFY369" s="377"/>
      <c r="CFZ369" s="88"/>
      <c r="CGA369" s="88"/>
      <c r="CGC369" s="377"/>
      <c r="CGD369" s="88"/>
      <c r="CGE369" s="88"/>
      <c r="CGG369" s="377"/>
      <c r="CGH369" s="88"/>
      <c r="CGI369" s="88"/>
      <c r="CGK369" s="377"/>
      <c r="CGL369" s="88"/>
      <c r="CGM369" s="88"/>
      <c r="CGO369" s="377"/>
      <c r="CGP369" s="88"/>
      <c r="CGQ369" s="88"/>
      <c r="CGS369" s="377"/>
      <c r="CGT369" s="88"/>
      <c r="CGU369" s="88"/>
      <c r="CGW369" s="377"/>
      <c r="CGX369" s="88"/>
      <c r="CGY369" s="88"/>
      <c r="CHA369" s="377"/>
      <c r="CHB369" s="88"/>
      <c r="CHC369" s="88"/>
      <c r="CHE369" s="377"/>
      <c r="CHF369" s="88"/>
      <c r="CHG369" s="88"/>
      <c r="CHI369" s="377"/>
      <c r="CHJ369" s="88"/>
      <c r="CHK369" s="88"/>
      <c r="CHM369" s="377"/>
      <c r="CHN369" s="88"/>
      <c r="CHO369" s="88"/>
      <c r="CHQ369" s="377"/>
      <c r="CHR369" s="88"/>
      <c r="CHS369" s="88"/>
      <c r="CHU369" s="377"/>
      <c r="CHV369" s="88"/>
      <c r="CHW369" s="88"/>
      <c r="CHY369" s="377"/>
      <c r="CHZ369" s="88"/>
      <c r="CIA369" s="88"/>
      <c r="CIC369" s="377"/>
      <c r="CID369" s="88"/>
      <c r="CIE369" s="88"/>
      <c r="CIG369" s="377"/>
      <c r="CIH369" s="88"/>
      <c r="CII369" s="88"/>
      <c r="CIK369" s="377"/>
      <c r="CIL369" s="88"/>
      <c r="CIM369" s="88"/>
      <c r="CIO369" s="377"/>
      <c r="CIP369" s="88"/>
      <c r="CIQ369" s="88"/>
      <c r="CIS369" s="377"/>
      <c r="CIT369" s="88"/>
      <c r="CIU369" s="88"/>
      <c r="CIW369" s="377"/>
      <c r="CIX369" s="88"/>
      <c r="CIY369" s="88"/>
      <c r="CJA369" s="377"/>
      <c r="CJB369" s="88"/>
      <c r="CJC369" s="88"/>
      <c r="CJE369" s="377"/>
      <c r="CJF369" s="88"/>
      <c r="CJG369" s="88"/>
      <c r="CJI369" s="377"/>
      <c r="CJJ369" s="88"/>
      <c r="CJK369" s="88"/>
      <c r="CJM369" s="377"/>
      <c r="CJN369" s="88"/>
      <c r="CJO369" s="88"/>
      <c r="CJQ369" s="377"/>
      <c r="CJR369" s="88"/>
      <c r="CJS369" s="88"/>
      <c r="CJU369" s="377"/>
      <c r="CJV369" s="88"/>
      <c r="CJW369" s="88"/>
      <c r="CJY369" s="377"/>
      <c r="CJZ369" s="88"/>
      <c r="CKA369" s="88"/>
      <c r="CKC369" s="377"/>
      <c r="CKD369" s="88"/>
      <c r="CKE369" s="88"/>
      <c r="CKG369" s="377"/>
      <c r="CKH369" s="88"/>
      <c r="CKI369" s="88"/>
      <c r="CKK369" s="377"/>
      <c r="CKL369" s="88"/>
      <c r="CKM369" s="88"/>
      <c r="CKO369" s="377"/>
      <c r="CKP369" s="88"/>
      <c r="CKQ369" s="88"/>
      <c r="CKS369" s="377"/>
      <c r="CKT369" s="88"/>
      <c r="CKU369" s="88"/>
      <c r="CKW369" s="377"/>
      <c r="CKX369" s="88"/>
      <c r="CKY369" s="88"/>
      <c r="CLA369" s="377"/>
      <c r="CLB369" s="88"/>
      <c r="CLC369" s="88"/>
      <c r="CLE369" s="377"/>
      <c r="CLF369" s="88"/>
      <c r="CLG369" s="88"/>
      <c r="CLI369" s="377"/>
      <c r="CLJ369" s="88"/>
      <c r="CLK369" s="88"/>
      <c r="CLM369" s="377"/>
      <c r="CLN369" s="88"/>
      <c r="CLO369" s="88"/>
      <c r="CLQ369" s="377"/>
      <c r="CLR369" s="88"/>
      <c r="CLS369" s="88"/>
      <c r="CLU369" s="377"/>
      <c r="CLV369" s="88"/>
      <c r="CLW369" s="88"/>
      <c r="CLY369" s="377"/>
      <c r="CLZ369" s="88"/>
      <c r="CMA369" s="88"/>
      <c r="CMC369" s="377"/>
      <c r="CMD369" s="88"/>
      <c r="CME369" s="88"/>
      <c r="CMG369" s="377"/>
      <c r="CMH369" s="88"/>
      <c r="CMI369" s="88"/>
      <c r="CMK369" s="377"/>
      <c r="CML369" s="88"/>
      <c r="CMM369" s="88"/>
      <c r="CMO369" s="377"/>
      <c r="CMP369" s="88"/>
      <c r="CMQ369" s="88"/>
      <c r="CMS369" s="377"/>
      <c r="CMT369" s="88"/>
      <c r="CMU369" s="88"/>
      <c r="CMW369" s="377"/>
      <c r="CMX369" s="88"/>
      <c r="CMY369" s="88"/>
      <c r="CNA369" s="377"/>
      <c r="CNB369" s="88"/>
      <c r="CNC369" s="88"/>
      <c r="CNE369" s="377"/>
      <c r="CNF369" s="88"/>
      <c r="CNG369" s="88"/>
      <c r="CNI369" s="377"/>
      <c r="CNJ369" s="88"/>
      <c r="CNK369" s="88"/>
      <c r="CNM369" s="377"/>
      <c r="CNN369" s="88"/>
      <c r="CNO369" s="88"/>
      <c r="CNQ369" s="377"/>
      <c r="CNR369" s="88"/>
      <c r="CNS369" s="88"/>
      <c r="CNU369" s="377"/>
      <c r="CNV369" s="88"/>
      <c r="CNW369" s="88"/>
      <c r="CNY369" s="377"/>
      <c r="CNZ369" s="88"/>
      <c r="COA369" s="88"/>
      <c r="COC369" s="377"/>
      <c r="COD369" s="88"/>
      <c r="COE369" s="88"/>
      <c r="COG369" s="377"/>
      <c r="COH369" s="88"/>
      <c r="COI369" s="88"/>
      <c r="COK369" s="377"/>
      <c r="COL369" s="88"/>
      <c r="COM369" s="88"/>
      <c r="COO369" s="377"/>
      <c r="COP369" s="88"/>
      <c r="COQ369" s="88"/>
      <c r="COS369" s="377"/>
      <c r="COT369" s="88"/>
      <c r="COU369" s="88"/>
      <c r="COW369" s="377"/>
      <c r="COX369" s="88"/>
      <c r="COY369" s="88"/>
      <c r="CPA369" s="377"/>
      <c r="CPB369" s="88"/>
      <c r="CPC369" s="88"/>
      <c r="CPE369" s="377"/>
      <c r="CPF369" s="88"/>
      <c r="CPG369" s="88"/>
      <c r="CPI369" s="377"/>
      <c r="CPJ369" s="88"/>
      <c r="CPK369" s="88"/>
      <c r="CPM369" s="377"/>
      <c r="CPN369" s="88"/>
      <c r="CPO369" s="88"/>
      <c r="CPQ369" s="377"/>
      <c r="CPR369" s="88"/>
      <c r="CPS369" s="88"/>
      <c r="CPU369" s="377"/>
      <c r="CPV369" s="88"/>
      <c r="CPW369" s="88"/>
      <c r="CPY369" s="377"/>
      <c r="CPZ369" s="88"/>
      <c r="CQA369" s="88"/>
      <c r="CQC369" s="377"/>
      <c r="CQD369" s="88"/>
      <c r="CQE369" s="88"/>
      <c r="CQG369" s="377"/>
      <c r="CQH369" s="88"/>
      <c r="CQI369" s="88"/>
      <c r="CQK369" s="377"/>
      <c r="CQL369" s="88"/>
      <c r="CQM369" s="88"/>
      <c r="CQO369" s="377"/>
      <c r="CQP369" s="88"/>
      <c r="CQQ369" s="88"/>
      <c r="CQS369" s="377"/>
      <c r="CQT369" s="88"/>
      <c r="CQU369" s="88"/>
      <c r="CQW369" s="377"/>
      <c r="CQX369" s="88"/>
      <c r="CQY369" s="88"/>
      <c r="CRA369" s="377"/>
      <c r="CRB369" s="88"/>
      <c r="CRC369" s="88"/>
      <c r="CRE369" s="377"/>
      <c r="CRF369" s="88"/>
      <c r="CRG369" s="88"/>
      <c r="CRI369" s="377"/>
      <c r="CRJ369" s="88"/>
      <c r="CRK369" s="88"/>
      <c r="CRM369" s="377"/>
      <c r="CRN369" s="88"/>
      <c r="CRO369" s="88"/>
      <c r="CRQ369" s="377"/>
      <c r="CRR369" s="88"/>
      <c r="CRS369" s="88"/>
      <c r="CRU369" s="377"/>
      <c r="CRV369" s="88"/>
      <c r="CRW369" s="88"/>
      <c r="CRY369" s="377"/>
      <c r="CRZ369" s="88"/>
      <c r="CSA369" s="88"/>
      <c r="CSC369" s="377"/>
      <c r="CSD369" s="88"/>
      <c r="CSE369" s="88"/>
      <c r="CSG369" s="377"/>
      <c r="CSH369" s="88"/>
      <c r="CSI369" s="88"/>
      <c r="CSK369" s="377"/>
      <c r="CSL369" s="88"/>
      <c r="CSM369" s="88"/>
      <c r="CSO369" s="377"/>
      <c r="CSP369" s="88"/>
      <c r="CSQ369" s="88"/>
      <c r="CSS369" s="377"/>
      <c r="CST369" s="88"/>
      <c r="CSU369" s="88"/>
      <c r="CSW369" s="377"/>
      <c r="CSX369" s="88"/>
      <c r="CSY369" s="88"/>
      <c r="CTA369" s="377"/>
      <c r="CTB369" s="88"/>
      <c r="CTC369" s="88"/>
      <c r="CTE369" s="377"/>
      <c r="CTF369" s="88"/>
      <c r="CTG369" s="88"/>
      <c r="CTI369" s="377"/>
      <c r="CTJ369" s="88"/>
      <c r="CTK369" s="88"/>
      <c r="CTM369" s="377"/>
      <c r="CTN369" s="88"/>
      <c r="CTO369" s="88"/>
      <c r="CTQ369" s="377"/>
      <c r="CTR369" s="88"/>
      <c r="CTS369" s="88"/>
      <c r="CTU369" s="377"/>
      <c r="CTV369" s="88"/>
      <c r="CTW369" s="88"/>
      <c r="CTY369" s="377"/>
      <c r="CTZ369" s="88"/>
      <c r="CUA369" s="88"/>
      <c r="CUC369" s="377"/>
      <c r="CUD369" s="88"/>
      <c r="CUE369" s="88"/>
      <c r="CUG369" s="377"/>
      <c r="CUH369" s="88"/>
      <c r="CUI369" s="88"/>
      <c r="CUK369" s="377"/>
      <c r="CUL369" s="88"/>
      <c r="CUM369" s="88"/>
      <c r="CUO369" s="377"/>
      <c r="CUP369" s="88"/>
      <c r="CUQ369" s="88"/>
      <c r="CUS369" s="377"/>
      <c r="CUT369" s="88"/>
      <c r="CUU369" s="88"/>
      <c r="CUW369" s="377"/>
      <c r="CUX369" s="88"/>
      <c r="CUY369" s="88"/>
      <c r="CVA369" s="377"/>
      <c r="CVB369" s="88"/>
      <c r="CVC369" s="88"/>
      <c r="CVE369" s="377"/>
      <c r="CVF369" s="88"/>
      <c r="CVG369" s="88"/>
      <c r="CVI369" s="377"/>
      <c r="CVJ369" s="88"/>
      <c r="CVK369" s="88"/>
      <c r="CVM369" s="377"/>
      <c r="CVN369" s="88"/>
      <c r="CVO369" s="88"/>
      <c r="CVQ369" s="377"/>
      <c r="CVR369" s="88"/>
      <c r="CVS369" s="88"/>
      <c r="CVU369" s="377"/>
      <c r="CVV369" s="88"/>
      <c r="CVW369" s="88"/>
      <c r="CVY369" s="377"/>
      <c r="CVZ369" s="88"/>
      <c r="CWA369" s="88"/>
      <c r="CWC369" s="377"/>
      <c r="CWD369" s="88"/>
      <c r="CWE369" s="88"/>
      <c r="CWG369" s="377"/>
      <c r="CWH369" s="88"/>
      <c r="CWI369" s="88"/>
      <c r="CWK369" s="377"/>
      <c r="CWL369" s="88"/>
      <c r="CWM369" s="88"/>
      <c r="CWO369" s="377"/>
      <c r="CWP369" s="88"/>
      <c r="CWQ369" s="88"/>
      <c r="CWS369" s="377"/>
      <c r="CWT369" s="88"/>
      <c r="CWU369" s="88"/>
      <c r="CWW369" s="377"/>
      <c r="CWX369" s="88"/>
      <c r="CWY369" s="88"/>
      <c r="CXA369" s="377"/>
      <c r="CXB369" s="88"/>
      <c r="CXC369" s="88"/>
      <c r="CXE369" s="377"/>
      <c r="CXF369" s="88"/>
      <c r="CXG369" s="88"/>
      <c r="CXI369" s="377"/>
      <c r="CXJ369" s="88"/>
      <c r="CXK369" s="88"/>
      <c r="CXM369" s="377"/>
      <c r="CXN369" s="88"/>
      <c r="CXO369" s="88"/>
      <c r="CXQ369" s="377"/>
      <c r="CXR369" s="88"/>
      <c r="CXS369" s="88"/>
      <c r="CXU369" s="377"/>
      <c r="CXV369" s="88"/>
      <c r="CXW369" s="88"/>
      <c r="CXY369" s="377"/>
      <c r="CXZ369" s="88"/>
      <c r="CYA369" s="88"/>
      <c r="CYC369" s="377"/>
      <c r="CYD369" s="88"/>
      <c r="CYE369" s="88"/>
      <c r="CYG369" s="377"/>
      <c r="CYH369" s="88"/>
      <c r="CYI369" s="88"/>
      <c r="CYK369" s="377"/>
      <c r="CYL369" s="88"/>
      <c r="CYM369" s="88"/>
      <c r="CYO369" s="377"/>
      <c r="CYP369" s="88"/>
      <c r="CYQ369" s="88"/>
      <c r="CYS369" s="377"/>
      <c r="CYT369" s="88"/>
      <c r="CYU369" s="88"/>
      <c r="CYW369" s="377"/>
      <c r="CYX369" s="88"/>
      <c r="CYY369" s="88"/>
      <c r="CZA369" s="377"/>
      <c r="CZB369" s="88"/>
      <c r="CZC369" s="88"/>
      <c r="CZE369" s="377"/>
      <c r="CZF369" s="88"/>
      <c r="CZG369" s="88"/>
      <c r="CZI369" s="377"/>
      <c r="CZJ369" s="88"/>
      <c r="CZK369" s="88"/>
      <c r="CZM369" s="377"/>
      <c r="CZN369" s="88"/>
      <c r="CZO369" s="88"/>
      <c r="CZQ369" s="377"/>
      <c r="CZR369" s="88"/>
      <c r="CZS369" s="88"/>
      <c r="CZU369" s="377"/>
      <c r="CZV369" s="88"/>
      <c r="CZW369" s="88"/>
      <c r="CZY369" s="377"/>
      <c r="CZZ369" s="88"/>
      <c r="DAA369" s="88"/>
      <c r="DAC369" s="377"/>
      <c r="DAD369" s="88"/>
      <c r="DAE369" s="88"/>
      <c r="DAG369" s="377"/>
      <c r="DAH369" s="88"/>
      <c r="DAI369" s="88"/>
      <c r="DAK369" s="377"/>
      <c r="DAL369" s="88"/>
      <c r="DAM369" s="88"/>
      <c r="DAO369" s="377"/>
      <c r="DAP369" s="88"/>
      <c r="DAQ369" s="88"/>
      <c r="DAS369" s="377"/>
      <c r="DAT369" s="88"/>
      <c r="DAU369" s="88"/>
      <c r="DAW369" s="377"/>
      <c r="DAX369" s="88"/>
      <c r="DAY369" s="88"/>
      <c r="DBA369" s="377"/>
      <c r="DBB369" s="88"/>
      <c r="DBC369" s="88"/>
      <c r="DBE369" s="377"/>
      <c r="DBF369" s="88"/>
      <c r="DBG369" s="88"/>
      <c r="DBI369" s="377"/>
      <c r="DBJ369" s="88"/>
      <c r="DBK369" s="88"/>
      <c r="DBM369" s="377"/>
      <c r="DBN369" s="88"/>
      <c r="DBO369" s="88"/>
      <c r="DBQ369" s="377"/>
      <c r="DBR369" s="88"/>
      <c r="DBS369" s="88"/>
      <c r="DBU369" s="377"/>
      <c r="DBV369" s="88"/>
      <c r="DBW369" s="88"/>
      <c r="DBY369" s="377"/>
      <c r="DBZ369" s="88"/>
      <c r="DCA369" s="88"/>
      <c r="DCC369" s="377"/>
      <c r="DCD369" s="88"/>
      <c r="DCE369" s="88"/>
      <c r="DCG369" s="377"/>
      <c r="DCH369" s="88"/>
      <c r="DCI369" s="88"/>
      <c r="DCK369" s="377"/>
      <c r="DCL369" s="88"/>
      <c r="DCM369" s="88"/>
      <c r="DCO369" s="377"/>
      <c r="DCP369" s="88"/>
      <c r="DCQ369" s="88"/>
      <c r="DCS369" s="377"/>
      <c r="DCT369" s="88"/>
      <c r="DCU369" s="88"/>
      <c r="DCW369" s="377"/>
      <c r="DCX369" s="88"/>
      <c r="DCY369" s="88"/>
      <c r="DDA369" s="377"/>
      <c r="DDB369" s="88"/>
      <c r="DDC369" s="88"/>
      <c r="DDE369" s="377"/>
      <c r="DDF369" s="88"/>
      <c r="DDG369" s="88"/>
      <c r="DDI369" s="377"/>
      <c r="DDJ369" s="88"/>
      <c r="DDK369" s="88"/>
      <c r="DDM369" s="377"/>
      <c r="DDN369" s="88"/>
      <c r="DDO369" s="88"/>
      <c r="DDQ369" s="377"/>
      <c r="DDR369" s="88"/>
      <c r="DDS369" s="88"/>
      <c r="DDU369" s="377"/>
      <c r="DDV369" s="88"/>
      <c r="DDW369" s="88"/>
      <c r="DDY369" s="377"/>
      <c r="DDZ369" s="88"/>
      <c r="DEA369" s="88"/>
      <c r="DEC369" s="377"/>
      <c r="DED369" s="88"/>
      <c r="DEE369" s="88"/>
      <c r="DEG369" s="377"/>
      <c r="DEH369" s="88"/>
      <c r="DEI369" s="88"/>
      <c r="DEK369" s="377"/>
      <c r="DEL369" s="88"/>
      <c r="DEM369" s="88"/>
      <c r="DEO369" s="377"/>
      <c r="DEP369" s="88"/>
      <c r="DEQ369" s="88"/>
      <c r="DES369" s="377"/>
      <c r="DET369" s="88"/>
      <c r="DEU369" s="88"/>
      <c r="DEW369" s="377"/>
      <c r="DEX369" s="88"/>
      <c r="DEY369" s="88"/>
      <c r="DFA369" s="377"/>
      <c r="DFB369" s="88"/>
      <c r="DFC369" s="88"/>
      <c r="DFE369" s="377"/>
      <c r="DFF369" s="88"/>
      <c r="DFG369" s="88"/>
      <c r="DFI369" s="377"/>
      <c r="DFJ369" s="88"/>
      <c r="DFK369" s="88"/>
      <c r="DFM369" s="377"/>
      <c r="DFN369" s="88"/>
      <c r="DFO369" s="88"/>
      <c r="DFQ369" s="377"/>
      <c r="DFR369" s="88"/>
      <c r="DFS369" s="88"/>
      <c r="DFU369" s="377"/>
      <c r="DFV369" s="88"/>
      <c r="DFW369" s="88"/>
      <c r="DFY369" s="377"/>
      <c r="DFZ369" s="88"/>
      <c r="DGA369" s="88"/>
      <c r="DGC369" s="377"/>
      <c r="DGD369" s="88"/>
      <c r="DGE369" s="88"/>
      <c r="DGG369" s="377"/>
      <c r="DGH369" s="88"/>
      <c r="DGI369" s="88"/>
      <c r="DGK369" s="377"/>
      <c r="DGL369" s="88"/>
      <c r="DGM369" s="88"/>
      <c r="DGO369" s="377"/>
      <c r="DGP369" s="88"/>
      <c r="DGQ369" s="88"/>
      <c r="DGS369" s="377"/>
      <c r="DGT369" s="88"/>
      <c r="DGU369" s="88"/>
      <c r="DGW369" s="377"/>
      <c r="DGX369" s="88"/>
      <c r="DGY369" s="88"/>
      <c r="DHA369" s="377"/>
      <c r="DHB369" s="88"/>
      <c r="DHC369" s="88"/>
      <c r="DHE369" s="377"/>
      <c r="DHF369" s="88"/>
      <c r="DHG369" s="88"/>
      <c r="DHI369" s="377"/>
      <c r="DHJ369" s="88"/>
      <c r="DHK369" s="88"/>
      <c r="DHM369" s="377"/>
      <c r="DHN369" s="88"/>
      <c r="DHO369" s="88"/>
      <c r="DHQ369" s="377"/>
      <c r="DHR369" s="88"/>
      <c r="DHS369" s="88"/>
      <c r="DHU369" s="377"/>
      <c r="DHV369" s="88"/>
      <c r="DHW369" s="88"/>
      <c r="DHY369" s="377"/>
      <c r="DHZ369" s="88"/>
      <c r="DIA369" s="88"/>
      <c r="DIC369" s="377"/>
      <c r="DID369" s="88"/>
      <c r="DIE369" s="88"/>
      <c r="DIG369" s="377"/>
      <c r="DIH369" s="88"/>
      <c r="DII369" s="88"/>
      <c r="DIK369" s="377"/>
      <c r="DIL369" s="88"/>
      <c r="DIM369" s="88"/>
      <c r="DIO369" s="377"/>
      <c r="DIP369" s="88"/>
      <c r="DIQ369" s="88"/>
      <c r="DIS369" s="377"/>
      <c r="DIT369" s="88"/>
      <c r="DIU369" s="88"/>
      <c r="DIW369" s="377"/>
      <c r="DIX369" s="88"/>
      <c r="DIY369" s="88"/>
      <c r="DJA369" s="377"/>
      <c r="DJB369" s="88"/>
      <c r="DJC369" s="88"/>
      <c r="DJE369" s="377"/>
      <c r="DJF369" s="88"/>
      <c r="DJG369" s="88"/>
      <c r="DJI369" s="377"/>
      <c r="DJJ369" s="88"/>
      <c r="DJK369" s="88"/>
      <c r="DJM369" s="377"/>
      <c r="DJN369" s="88"/>
      <c r="DJO369" s="88"/>
      <c r="DJQ369" s="377"/>
      <c r="DJR369" s="88"/>
      <c r="DJS369" s="88"/>
      <c r="DJU369" s="377"/>
      <c r="DJV369" s="88"/>
      <c r="DJW369" s="88"/>
      <c r="DJY369" s="377"/>
      <c r="DJZ369" s="88"/>
      <c r="DKA369" s="88"/>
      <c r="DKC369" s="377"/>
      <c r="DKD369" s="88"/>
      <c r="DKE369" s="88"/>
      <c r="DKG369" s="377"/>
      <c r="DKH369" s="88"/>
      <c r="DKI369" s="88"/>
      <c r="DKK369" s="377"/>
      <c r="DKL369" s="88"/>
      <c r="DKM369" s="88"/>
      <c r="DKO369" s="377"/>
      <c r="DKP369" s="88"/>
      <c r="DKQ369" s="88"/>
      <c r="DKS369" s="377"/>
      <c r="DKT369" s="88"/>
      <c r="DKU369" s="88"/>
      <c r="DKW369" s="377"/>
      <c r="DKX369" s="88"/>
      <c r="DKY369" s="88"/>
      <c r="DLA369" s="377"/>
      <c r="DLB369" s="88"/>
      <c r="DLC369" s="88"/>
      <c r="DLE369" s="377"/>
      <c r="DLF369" s="88"/>
      <c r="DLG369" s="88"/>
      <c r="DLI369" s="377"/>
      <c r="DLJ369" s="88"/>
      <c r="DLK369" s="88"/>
      <c r="DLM369" s="377"/>
      <c r="DLN369" s="88"/>
      <c r="DLO369" s="88"/>
      <c r="DLQ369" s="377"/>
      <c r="DLR369" s="88"/>
      <c r="DLS369" s="88"/>
      <c r="DLU369" s="377"/>
      <c r="DLV369" s="88"/>
      <c r="DLW369" s="88"/>
      <c r="DLY369" s="377"/>
      <c r="DLZ369" s="88"/>
      <c r="DMA369" s="88"/>
      <c r="DMC369" s="377"/>
      <c r="DMD369" s="88"/>
      <c r="DME369" s="88"/>
      <c r="DMG369" s="377"/>
      <c r="DMH369" s="88"/>
      <c r="DMI369" s="88"/>
      <c r="DMK369" s="377"/>
      <c r="DML369" s="88"/>
      <c r="DMM369" s="88"/>
      <c r="DMO369" s="377"/>
      <c r="DMP369" s="88"/>
      <c r="DMQ369" s="88"/>
      <c r="DMS369" s="377"/>
      <c r="DMT369" s="88"/>
      <c r="DMU369" s="88"/>
      <c r="DMW369" s="377"/>
      <c r="DMX369" s="88"/>
      <c r="DMY369" s="88"/>
      <c r="DNA369" s="377"/>
      <c r="DNB369" s="88"/>
      <c r="DNC369" s="88"/>
      <c r="DNE369" s="377"/>
      <c r="DNF369" s="88"/>
      <c r="DNG369" s="88"/>
      <c r="DNI369" s="377"/>
      <c r="DNJ369" s="88"/>
      <c r="DNK369" s="88"/>
      <c r="DNM369" s="377"/>
      <c r="DNN369" s="88"/>
      <c r="DNO369" s="88"/>
      <c r="DNQ369" s="377"/>
      <c r="DNR369" s="88"/>
      <c r="DNS369" s="88"/>
      <c r="DNU369" s="377"/>
      <c r="DNV369" s="88"/>
      <c r="DNW369" s="88"/>
      <c r="DNY369" s="377"/>
      <c r="DNZ369" s="88"/>
      <c r="DOA369" s="88"/>
      <c r="DOC369" s="377"/>
      <c r="DOD369" s="88"/>
      <c r="DOE369" s="88"/>
      <c r="DOG369" s="377"/>
      <c r="DOH369" s="88"/>
      <c r="DOI369" s="88"/>
      <c r="DOK369" s="377"/>
      <c r="DOL369" s="88"/>
      <c r="DOM369" s="88"/>
      <c r="DOO369" s="377"/>
      <c r="DOP369" s="88"/>
      <c r="DOQ369" s="88"/>
      <c r="DOS369" s="377"/>
      <c r="DOT369" s="88"/>
      <c r="DOU369" s="88"/>
      <c r="DOW369" s="377"/>
      <c r="DOX369" s="88"/>
      <c r="DOY369" s="88"/>
      <c r="DPA369" s="377"/>
      <c r="DPB369" s="88"/>
      <c r="DPC369" s="88"/>
      <c r="DPE369" s="377"/>
      <c r="DPF369" s="88"/>
      <c r="DPG369" s="88"/>
      <c r="DPI369" s="377"/>
      <c r="DPJ369" s="88"/>
      <c r="DPK369" s="88"/>
      <c r="DPM369" s="377"/>
      <c r="DPN369" s="88"/>
      <c r="DPO369" s="88"/>
      <c r="DPQ369" s="377"/>
      <c r="DPR369" s="88"/>
      <c r="DPS369" s="88"/>
      <c r="DPU369" s="377"/>
      <c r="DPV369" s="88"/>
      <c r="DPW369" s="88"/>
      <c r="DPY369" s="377"/>
      <c r="DPZ369" s="88"/>
      <c r="DQA369" s="88"/>
      <c r="DQC369" s="377"/>
      <c r="DQD369" s="88"/>
      <c r="DQE369" s="88"/>
      <c r="DQG369" s="377"/>
      <c r="DQH369" s="88"/>
      <c r="DQI369" s="88"/>
      <c r="DQK369" s="377"/>
      <c r="DQL369" s="88"/>
      <c r="DQM369" s="88"/>
      <c r="DQO369" s="377"/>
      <c r="DQP369" s="88"/>
      <c r="DQQ369" s="88"/>
      <c r="DQS369" s="377"/>
      <c r="DQT369" s="88"/>
      <c r="DQU369" s="88"/>
      <c r="DQW369" s="377"/>
      <c r="DQX369" s="88"/>
      <c r="DQY369" s="88"/>
      <c r="DRA369" s="377"/>
      <c r="DRB369" s="88"/>
      <c r="DRC369" s="88"/>
      <c r="DRE369" s="377"/>
      <c r="DRF369" s="88"/>
      <c r="DRG369" s="88"/>
      <c r="DRI369" s="377"/>
      <c r="DRJ369" s="88"/>
      <c r="DRK369" s="88"/>
      <c r="DRM369" s="377"/>
      <c r="DRN369" s="88"/>
      <c r="DRO369" s="88"/>
      <c r="DRQ369" s="377"/>
      <c r="DRR369" s="88"/>
      <c r="DRS369" s="88"/>
      <c r="DRU369" s="377"/>
      <c r="DRV369" s="88"/>
      <c r="DRW369" s="88"/>
      <c r="DRY369" s="377"/>
      <c r="DRZ369" s="88"/>
      <c r="DSA369" s="88"/>
      <c r="DSC369" s="377"/>
      <c r="DSD369" s="88"/>
      <c r="DSE369" s="88"/>
      <c r="DSG369" s="377"/>
      <c r="DSH369" s="88"/>
      <c r="DSI369" s="88"/>
      <c r="DSK369" s="377"/>
      <c r="DSL369" s="88"/>
      <c r="DSM369" s="88"/>
      <c r="DSO369" s="377"/>
      <c r="DSP369" s="88"/>
      <c r="DSQ369" s="88"/>
      <c r="DSS369" s="377"/>
      <c r="DST369" s="88"/>
      <c r="DSU369" s="88"/>
      <c r="DSW369" s="377"/>
      <c r="DSX369" s="88"/>
      <c r="DSY369" s="88"/>
      <c r="DTA369" s="377"/>
      <c r="DTB369" s="88"/>
      <c r="DTC369" s="88"/>
      <c r="DTE369" s="377"/>
      <c r="DTF369" s="88"/>
      <c r="DTG369" s="88"/>
      <c r="DTI369" s="377"/>
      <c r="DTJ369" s="88"/>
      <c r="DTK369" s="88"/>
      <c r="DTM369" s="377"/>
      <c r="DTN369" s="88"/>
      <c r="DTO369" s="88"/>
      <c r="DTQ369" s="377"/>
      <c r="DTR369" s="88"/>
      <c r="DTS369" s="88"/>
      <c r="DTU369" s="377"/>
      <c r="DTV369" s="88"/>
      <c r="DTW369" s="88"/>
      <c r="DTY369" s="377"/>
      <c r="DTZ369" s="88"/>
      <c r="DUA369" s="88"/>
      <c r="DUC369" s="377"/>
      <c r="DUD369" s="88"/>
      <c r="DUE369" s="88"/>
      <c r="DUG369" s="377"/>
      <c r="DUH369" s="88"/>
      <c r="DUI369" s="88"/>
      <c r="DUK369" s="377"/>
      <c r="DUL369" s="88"/>
      <c r="DUM369" s="88"/>
      <c r="DUO369" s="377"/>
      <c r="DUP369" s="88"/>
      <c r="DUQ369" s="88"/>
      <c r="DUS369" s="377"/>
      <c r="DUT369" s="88"/>
      <c r="DUU369" s="88"/>
      <c r="DUW369" s="377"/>
      <c r="DUX369" s="88"/>
      <c r="DUY369" s="88"/>
      <c r="DVA369" s="377"/>
      <c r="DVB369" s="88"/>
      <c r="DVC369" s="88"/>
      <c r="DVE369" s="377"/>
      <c r="DVF369" s="88"/>
      <c r="DVG369" s="88"/>
      <c r="DVI369" s="377"/>
      <c r="DVJ369" s="88"/>
      <c r="DVK369" s="88"/>
      <c r="DVM369" s="377"/>
      <c r="DVN369" s="88"/>
      <c r="DVO369" s="88"/>
      <c r="DVQ369" s="377"/>
      <c r="DVR369" s="88"/>
      <c r="DVS369" s="88"/>
      <c r="DVU369" s="377"/>
      <c r="DVV369" s="88"/>
      <c r="DVW369" s="88"/>
      <c r="DVY369" s="377"/>
      <c r="DVZ369" s="88"/>
      <c r="DWA369" s="88"/>
      <c r="DWC369" s="377"/>
      <c r="DWD369" s="88"/>
      <c r="DWE369" s="88"/>
      <c r="DWG369" s="377"/>
      <c r="DWH369" s="88"/>
      <c r="DWI369" s="88"/>
      <c r="DWK369" s="377"/>
      <c r="DWL369" s="88"/>
      <c r="DWM369" s="88"/>
      <c r="DWO369" s="377"/>
      <c r="DWP369" s="88"/>
      <c r="DWQ369" s="88"/>
      <c r="DWS369" s="377"/>
      <c r="DWT369" s="88"/>
      <c r="DWU369" s="88"/>
      <c r="DWW369" s="377"/>
      <c r="DWX369" s="88"/>
      <c r="DWY369" s="88"/>
      <c r="DXA369" s="377"/>
      <c r="DXB369" s="88"/>
      <c r="DXC369" s="88"/>
      <c r="DXE369" s="377"/>
      <c r="DXF369" s="88"/>
      <c r="DXG369" s="88"/>
      <c r="DXI369" s="377"/>
      <c r="DXJ369" s="88"/>
      <c r="DXK369" s="88"/>
      <c r="DXM369" s="377"/>
      <c r="DXN369" s="88"/>
      <c r="DXO369" s="88"/>
      <c r="DXQ369" s="377"/>
      <c r="DXR369" s="88"/>
      <c r="DXS369" s="88"/>
      <c r="DXU369" s="377"/>
      <c r="DXV369" s="88"/>
      <c r="DXW369" s="88"/>
      <c r="DXY369" s="377"/>
      <c r="DXZ369" s="88"/>
      <c r="DYA369" s="88"/>
      <c r="DYC369" s="377"/>
      <c r="DYD369" s="88"/>
      <c r="DYE369" s="88"/>
      <c r="DYG369" s="377"/>
      <c r="DYH369" s="88"/>
      <c r="DYI369" s="88"/>
      <c r="DYK369" s="377"/>
      <c r="DYL369" s="88"/>
      <c r="DYM369" s="88"/>
      <c r="DYO369" s="377"/>
      <c r="DYP369" s="88"/>
      <c r="DYQ369" s="88"/>
      <c r="DYS369" s="377"/>
      <c r="DYT369" s="88"/>
      <c r="DYU369" s="88"/>
      <c r="DYW369" s="377"/>
      <c r="DYX369" s="88"/>
      <c r="DYY369" s="88"/>
      <c r="DZA369" s="377"/>
      <c r="DZB369" s="88"/>
      <c r="DZC369" s="88"/>
      <c r="DZE369" s="377"/>
      <c r="DZF369" s="88"/>
      <c r="DZG369" s="88"/>
      <c r="DZI369" s="377"/>
      <c r="DZJ369" s="88"/>
      <c r="DZK369" s="88"/>
      <c r="DZM369" s="377"/>
      <c r="DZN369" s="88"/>
      <c r="DZO369" s="88"/>
      <c r="DZQ369" s="377"/>
      <c r="DZR369" s="88"/>
      <c r="DZS369" s="88"/>
      <c r="DZU369" s="377"/>
      <c r="DZV369" s="88"/>
      <c r="DZW369" s="88"/>
      <c r="DZY369" s="377"/>
      <c r="DZZ369" s="88"/>
      <c r="EAA369" s="88"/>
      <c r="EAC369" s="377"/>
      <c r="EAD369" s="88"/>
      <c r="EAE369" s="88"/>
      <c r="EAG369" s="377"/>
      <c r="EAH369" s="88"/>
      <c r="EAI369" s="88"/>
      <c r="EAK369" s="377"/>
      <c r="EAL369" s="88"/>
      <c r="EAM369" s="88"/>
      <c r="EAO369" s="377"/>
      <c r="EAP369" s="88"/>
      <c r="EAQ369" s="88"/>
      <c r="EAS369" s="377"/>
      <c r="EAT369" s="88"/>
      <c r="EAU369" s="88"/>
      <c r="EAW369" s="377"/>
      <c r="EAX369" s="88"/>
      <c r="EAY369" s="88"/>
      <c r="EBA369" s="377"/>
      <c r="EBB369" s="88"/>
      <c r="EBC369" s="88"/>
      <c r="EBE369" s="377"/>
      <c r="EBF369" s="88"/>
      <c r="EBG369" s="88"/>
      <c r="EBI369" s="377"/>
      <c r="EBJ369" s="88"/>
      <c r="EBK369" s="88"/>
      <c r="EBM369" s="377"/>
      <c r="EBN369" s="88"/>
      <c r="EBO369" s="88"/>
      <c r="EBQ369" s="377"/>
      <c r="EBR369" s="88"/>
      <c r="EBS369" s="88"/>
      <c r="EBU369" s="377"/>
      <c r="EBV369" s="88"/>
      <c r="EBW369" s="88"/>
      <c r="EBY369" s="377"/>
      <c r="EBZ369" s="88"/>
      <c r="ECA369" s="88"/>
      <c r="ECC369" s="377"/>
      <c r="ECD369" s="88"/>
      <c r="ECE369" s="88"/>
      <c r="ECG369" s="377"/>
      <c r="ECH369" s="88"/>
      <c r="ECI369" s="88"/>
      <c r="ECK369" s="377"/>
      <c r="ECL369" s="88"/>
      <c r="ECM369" s="88"/>
      <c r="ECO369" s="377"/>
      <c r="ECP369" s="88"/>
      <c r="ECQ369" s="88"/>
      <c r="ECS369" s="377"/>
      <c r="ECT369" s="88"/>
      <c r="ECU369" s="88"/>
      <c r="ECW369" s="377"/>
      <c r="ECX369" s="88"/>
      <c r="ECY369" s="88"/>
      <c r="EDA369" s="377"/>
      <c r="EDB369" s="88"/>
      <c r="EDC369" s="88"/>
      <c r="EDE369" s="377"/>
      <c r="EDF369" s="88"/>
      <c r="EDG369" s="88"/>
      <c r="EDI369" s="377"/>
      <c r="EDJ369" s="88"/>
      <c r="EDK369" s="88"/>
      <c r="EDM369" s="377"/>
      <c r="EDN369" s="88"/>
      <c r="EDO369" s="88"/>
      <c r="EDQ369" s="377"/>
      <c r="EDR369" s="88"/>
      <c r="EDS369" s="88"/>
      <c r="EDU369" s="377"/>
      <c r="EDV369" s="88"/>
      <c r="EDW369" s="88"/>
      <c r="EDY369" s="377"/>
      <c r="EDZ369" s="88"/>
      <c r="EEA369" s="88"/>
      <c r="EEC369" s="377"/>
      <c r="EED369" s="88"/>
      <c r="EEE369" s="88"/>
      <c r="EEG369" s="377"/>
      <c r="EEH369" s="88"/>
      <c r="EEI369" s="88"/>
      <c r="EEK369" s="377"/>
      <c r="EEL369" s="88"/>
      <c r="EEM369" s="88"/>
      <c r="EEO369" s="377"/>
      <c r="EEP369" s="88"/>
      <c r="EEQ369" s="88"/>
      <c r="EES369" s="377"/>
      <c r="EET369" s="88"/>
      <c r="EEU369" s="88"/>
      <c r="EEW369" s="377"/>
      <c r="EEX369" s="88"/>
      <c r="EEY369" s="88"/>
      <c r="EFA369" s="377"/>
      <c r="EFB369" s="88"/>
      <c r="EFC369" s="88"/>
      <c r="EFE369" s="377"/>
      <c r="EFF369" s="88"/>
      <c r="EFG369" s="88"/>
      <c r="EFI369" s="377"/>
      <c r="EFJ369" s="88"/>
      <c r="EFK369" s="88"/>
      <c r="EFM369" s="377"/>
      <c r="EFN369" s="88"/>
      <c r="EFO369" s="88"/>
      <c r="EFQ369" s="377"/>
      <c r="EFR369" s="88"/>
      <c r="EFS369" s="88"/>
      <c r="EFU369" s="377"/>
      <c r="EFV369" s="88"/>
      <c r="EFW369" s="88"/>
      <c r="EFY369" s="377"/>
      <c r="EFZ369" s="88"/>
      <c r="EGA369" s="88"/>
      <c r="EGC369" s="377"/>
      <c r="EGD369" s="88"/>
      <c r="EGE369" s="88"/>
      <c r="EGG369" s="377"/>
      <c r="EGH369" s="88"/>
      <c r="EGI369" s="88"/>
      <c r="EGK369" s="377"/>
      <c r="EGL369" s="88"/>
      <c r="EGM369" s="88"/>
      <c r="EGO369" s="377"/>
      <c r="EGP369" s="88"/>
      <c r="EGQ369" s="88"/>
      <c r="EGS369" s="377"/>
      <c r="EGT369" s="88"/>
      <c r="EGU369" s="88"/>
      <c r="EGW369" s="377"/>
      <c r="EGX369" s="88"/>
      <c r="EGY369" s="88"/>
      <c r="EHA369" s="377"/>
      <c r="EHB369" s="88"/>
      <c r="EHC369" s="88"/>
      <c r="EHE369" s="377"/>
      <c r="EHF369" s="88"/>
      <c r="EHG369" s="88"/>
      <c r="EHI369" s="377"/>
      <c r="EHJ369" s="88"/>
      <c r="EHK369" s="88"/>
      <c r="EHM369" s="377"/>
      <c r="EHN369" s="88"/>
      <c r="EHO369" s="88"/>
      <c r="EHQ369" s="377"/>
      <c r="EHR369" s="88"/>
      <c r="EHS369" s="88"/>
      <c r="EHU369" s="377"/>
      <c r="EHV369" s="88"/>
      <c r="EHW369" s="88"/>
      <c r="EHY369" s="377"/>
      <c r="EHZ369" s="88"/>
      <c r="EIA369" s="88"/>
      <c r="EIC369" s="377"/>
      <c r="EID369" s="88"/>
      <c r="EIE369" s="88"/>
      <c r="EIG369" s="377"/>
      <c r="EIH369" s="88"/>
      <c r="EII369" s="88"/>
      <c r="EIK369" s="377"/>
      <c r="EIL369" s="88"/>
      <c r="EIM369" s="88"/>
      <c r="EIO369" s="377"/>
      <c r="EIP369" s="88"/>
      <c r="EIQ369" s="88"/>
      <c r="EIS369" s="377"/>
      <c r="EIT369" s="88"/>
      <c r="EIU369" s="88"/>
      <c r="EIW369" s="377"/>
      <c r="EIX369" s="88"/>
      <c r="EIY369" s="88"/>
      <c r="EJA369" s="377"/>
      <c r="EJB369" s="88"/>
      <c r="EJC369" s="88"/>
      <c r="EJE369" s="377"/>
      <c r="EJF369" s="88"/>
      <c r="EJG369" s="88"/>
      <c r="EJI369" s="377"/>
      <c r="EJJ369" s="88"/>
      <c r="EJK369" s="88"/>
      <c r="EJM369" s="377"/>
      <c r="EJN369" s="88"/>
      <c r="EJO369" s="88"/>
      <c r="EJQ369" s="377"/>
      <c r="EJR369" s="88"/>
      <c r="EJS369" s="88"/>
      <c r="EJU369" s="377"/>
      <c r="EJV369" s="88"/>
      <c r="EJW369" s="88"/>
      <c r="EJY369" s="377"/>
      <c r="EJZ369" s="88"/>
      <c r="EKA369" s="88"/>
      <c r="EKC369" s="377"/>
      <c r="EKD369" s="88"/>
      <c r="EKE369" s="88"/>
      <c r="EKG369" s="377"/>
      <c r="EKH369" s="88"/>
      <c r="EKI369" s="88"/>
      <c r="EKK369" s="377"/>
      <c r="EKL369" s="88"/>
      <c r="EKM369" s="88"/>
      <c r="EKO369" s="377"/>
      <c r="EKP369" s="88"/>
      <c r="EKQ369" s="88"/>
      <c r="EKS369" s="377"/>
      <c r="EKT369" s="88"/>
      <c r="EKU369" s="88"/>
      <c r="EKW369" s="377"/>
      <c r="EKX369" s="88"/>
      <c r="EKY369" s="88"/>
      <c r="ELA369" s="377"/>
      <c r="ELB369" s="88"/>
      <c r="ELC369" s="88"/>
      <c r="ELE369" s="377"/>
      <c r="ELF369" s="88"/>
      <c r="ELG369" s="88"/>
      <c r="ELI369" s="377"/>
      <c r="ELJ369" s="88"/>
      <c r="ELK369" s="88"/>
      <c r="ELM369" s="377"/>
      <c r="ELN369" s="88"/>
      <c r="ELO369" s="88"/>
      <c r="ELQ369" s="377"/>
      <c r="ELR369" s="88"/>
      <c r="ELS369" s="88"/>
      <c r="ELU369" s="377"/>
      <c r="ELV369" s="88"/>
      <c r="ELW369" s="88"/>
      <c r="ELY369" s="377"/>
      <c r="ELZ369" s="88"/>
      <c r="EMA369" s="88"/>
      <c r="EMC369" s="377"/>
      <c r="EMD369" s="88"/>
      <c r="EME369" s="88"/>
      <c r="EMG369" s="377"/>
      <c r="EMH369" s="88"/>
      <c r="EMI369" s="88"/>
      <c r="EMK369" s="377"/>
      <c r="EML369" s="88"/>
      <c r="EMM369" s="88"/>
      <c r="EMO369" s="377"/>
      <c r="EMP369" s="88"/>
      <c r="EMQ369" s="88"/>
      <c r="EMS369" s="377"/>
      <c r="EMT369" s="88"/>
      <c r="EMU369" s="88"/>
      <c r="EMW369" s="377"/>
      <c r="EMX369" s="88"/>
      <c r="EMY369" s="88"/>
      <c r="ENA369" s="377"/>
      <c r="ENB369" s="88"/>
      <c r="ENC369" s="88"/>
      <c r="ENE369" s="377"/>
      <c r="ENF369" s="88"/>
      <c r="ENG369" s="88"/>
      <c r="ENI369" s="377"/>
      <c r="ENJ369" s="88"/>
      <c r="ENK369" s="88"/>
      <c r="ENM369" s="377"/>
      <c r="ENN369" s="88"/>
      <c r="ENO369" s="88"/>
      <c r="ENQ369" s="377"/>
      <c r="ENR369" s="88"/>
      <c r="ENS369" s="88"/>
      <c r="ENU369" s="377"/>
      <c r="ENV369" s="88"/>
      <c r="ENW369" s="88"/>
      <c r="ENY369" s="377"/>
      <c r="ENZ369" s="88"/>
      <c r="EOA369" s="88"/>
      <c r="EOC369" s="377"/>
      <c r="EOD369" s="88"/>
      <c r="EOE369" s="88"/>
      <c r="EOG369" s="377"/>
      <c r="EOH369" s="88"/>
      <c r="EOI369" s="88"/>
      <c r="EOK369" s="377"/>
      <c r="EOL369" s="88"/>
      <c r="EOM369" s="88"/>
      <c r="EOO369" s="377"/>
      <c r="EOP369" s="88"/>
      <c r="EOQ369" s="88"/>
      <c r="EOS369" s="377"/>
      <c r="EOT369" s="88"/>
      <c r="EOU369" s="88"/>
      <c r="EOW369" s="377"/>
      <c r="EOX369" s="88"/>
      <c r="EOY369" s="88"/>
      <c r="EPA369" s="377"/>
      <c r="EPB369" s="88"/>
      <c r="EPC369" s="88"/>
      <c r="EPE369" s="377"/>
      <c r="EPF369" s="88"/>
      <c r="EPG369" s="88"/>
      <c r="EPI369" s="377"/>
      <c r="EPJ369" s="88"/>
      <c r="EPK369" s="88"/>
      <c r="EPM369" s="377"/>
      <c r="EPN369" s="88"/>
      <c r="EPO369" s="88"/>
      <c r="EPQ369" s="377"/>
      <c r="EPR369" s="88"/>
      <c r="EPS369" s="88"/>
      <c r="EPU369" s="377"/>
      <c r="EPV369" s="88"/>
      <c r="EPW369" s="88"/>
      <c r="EPY369" s="377"/>
      <c r="EPZ369" s="88"/>
      <c r="EQA369" s="88"/>
      <c r="EQC369" s="377"/>
      <c r="EQD369" s="88"/>
      <c r="EQE369" s="88"/>
      <c r="EQG369" s="377"/>
      <c r="EQH369" s="88"/>
      <c r="EQI369" s="88"/>
      <c r="EQK369" s="377"/>
      <c r="EQL369" s="88"/>
      <c r="EQM369" s="88"/>
      <c r="EQO369" s="377"/>
      <c r="EQP369" s="88"/>
      <c r="EQQ369" s="88"/>
      <c r="EQS369" s="377"/>
      <c r="EQT369" s="88"/>
      <c r="EQU369" s="88"/>
      <c r="EQW369" s="377"/>
      <c r="EQX369" s="88"/>
      <c r="EQY369" s="88"/>
      <c r="ERA369" s="377"/>
      <c r="ERB369" s="88"/>
      <c r="ERC369" s="88"/>
      <c r="ERE369" s="377"/>
      <c r="ERF369" s="88"/>
      <c r="ERG369" s="88"/>
      <c r="ERI369" s="377"/>
      <c r="ERJ369" s="88"/>
      <c r="ERK369" s="88"/>
      <c r="ERM369" s="377"/>
      <c r="ERN369" s="88"/>
      <c r="ERO369" s="88"/>
      <c r="ERQ369" s="377"/>
      <c r="ERR369" s="88"/>
      <c r="ERS369" s="88"/>
      <c r="ERU369" s="377"/>
      <c r="ERV369" s="88"/>
      <c r="ERW369" s="88"/>
      <c r="ERY369" s="377"/>
      <c r="ERZ369" s="88"/>
      <c r="ESA369" s="88"/>
      <c r="ESC369" s="377"/>
      <c r="ESD369" s="88"/>
      <c r="ESE369" s="88"/>
      <c r="ESG369" s="377"/>
      <c r="ESH369" s="88"/>
      <c r="ESI369" s="88"/>
      <c r="ESK369" s="377"/>
      <c r="ESL369" s="88"/>
      <c r="ESM369" s="88"/>
      <c r="ESO369" s="377"/>
      <c r="ESP369" s="88"/>
      <c r="ESQ369" s="88"/>
      <c r="ESS369" s="377"/>
      <c r="EST369" s="88"/>
      <c r="ESU369" s="88"/>
      <c r="ESW369" s="377"/>
      <c r="ESX369" s="88"/>
      <c r="ESY369" s="88"/>
      <c r="ETA369" s="377"/>
      <c r="ETB369" s="88"/>
      <c r="ETC369" s="88"/>
      <c r="ETE369" s="377"/>
      <c r="ETF369" s="88"/>
      <c r="ETG369" s="88"/>
      <c r="ETI369" s="377"/>
      <c r="ETJ369" s="88"/>
      <c r="ETK369" s="88"/>
      <c r="ETM369" s="377"/>
      <c r="ETN369" s="88"/>
      <c r="ETO369" s="88"/>
      <c r="ETQ369" s="377"/>
      <c r="ETR369" s="88"/>
      <c r="ETS369" s="88"/>
      <c r="ETU369" s="377"/>
      <c r="ETV369" s="88"/>
      <c r="ETW369" s="88"/>
      <c r="ETY369" s="377"/>
      <c r="ETZ369" s="88"/>
      <c r="EUA369" s="88"/>
      <c r="EUC369" s="377"/>
      <c r="EUD369" s="88"/>
      <c r="EUE369" s="88"/>
      <c r="EUG369" s="377"/>
      <c r="EUH369" s="88"/>
      <c r="EUI369" s="88"/>
      <c r="EUK369" s="377"/>
      <c r="EUL369" s="88"/>
      <c r="EUM369" s="88"/>
      <c r="EUO369" s="377"/>
      <c r="EUP369" s="88"/>
      <c r="EUQ369" s="88"/>
      <c r="EUS369" s="377"/>
      <c r="EUT369" s="88"/>
      <c r="EUU369" s="88"/>
      <c r="EUW369" s="377"/>
      <c r="EUX369" s="88"/>
      <c r="EUY369" s="88"/>
      <c r="EVA369" s="377"/>
      <c r="EVB369" s="88"/>
      <c r="EVC369" s="88"/>
      <c r="EVE369" s="377"/>
      <c r="EVF369" s="88"/>
      <c r="EVG369" s="88"/>
      <c r="EVI369" s="377"/>
      <c r="EVJ369" s="88"/>
      <c r="EVK369" s="88"/>
      <c r="EVM369" s="377"/>
      <c r="EVN369" s="88"/>
      <c r="EVO369" s="88"/>
      <c r="EVQ369" s="377"/>
      <c r="EVR369" s="88"/>
      <c r="EVS369" s="88"/>
      <c r="EVU369" s="377"/>
      <c r="EVV369" s="88"/>
      <c r="EVW369" s="88"/>
      <c r="EVY369" s="377"/>
      <c r="EVZ369" s="88"/>
      <c r="EWA369" s="88"/>
      <c r="EWC369" s="377"/>
      <c r="EWD369" s="88"/>
      <c r="EWE369" s="88"/>
      <c r="EWG369" s="377"/>
      <c r="EWH369" s="88"/>
      <c r="EWI369" s="88"/>
      <c r="EWK369" s="377"/>
      <c r="EWL369" s="88"/>
      <c r="EWM369" s="88"/>
      <c r="EWO369" s="377"/>
      <c r="EWP369" s="88"/>
      <c r="EWQ369" s="88"/>
      <c r="EWS369" s="377"/>
      <c r="EWT369" s="88"/>
      <c r="EWU369" s="88"/>
      <c r="EWW369" s="377"/>
      <c r="EWX369" s="88"/>
      <c r="EWY369" s="88"/>
      <c r="EXA369" s="377"/>
      <c r="EXB369" s="88"/>
      <c r="EXC369" s="88"/>
      <c r="EXE369" s="377"/>
      <c r="EXF369" s="88"/>
      <c r="EXG369" s="88"/>
      <c r="EXI369" s="377"/>
      <c r="EXJ369" s="88"/>
      <c r="EXK369" s="88"/>
      <c r="EXM369" s="377"/>
      <c r="EXN369" s="88"/>
      <c r="EXO369" s="88"/>
      <c r="EXQ369" s="377"/>
      <c r="EXR369" s="88"/>
      <c r="EXS369" s="88"/>
      <c r="EXU369" s="377"/>
      <c r="EXV369" s="88"/>
      <c r="EXW369" s="88"/>
      <c r="EXY369" s="377"/>
      <c r="EXZ369" s="88"/>
      <c r="EYA369" s="88"/>
      <c r="EYC369" s="377"/>
      <c r="EYD369" s="88"/>
      <c r="EYE369" s="88"/>
      <c r="EYG369" s="377"/>
      <c r="EYH369" s="88"/>
      <c r="EYI369" s="88"/>
      <c r="EYK369" s="377"/>
      <c r="EYL369" s="88"/>
      <c r="EYM369" s="88"/>
      <c r="EYO369" s="377"/>
      <c r="EYP369" s="88"/>
      <c r="EYQ369" s="88"/>
      <c r="EYS369" s="377"/>
      <c r="EYT369" s="88"/>
      <c r="EYU369" s="88"/>
      <c r="EYW369" s="377"/>
      <c r="EYX369" s="88"/>
      <c r="EYY369" s="88"/>
      <c r="EZA369" s="377"/>
      <c r="EZB369" s="88"/>
      <c r="EZC369" s="88"/>
      <c r="EZE369" s="377"/>
      <c r="EZF369" s="88"/>
      <c r="EZG369" s="88"/>
      <c r="EZI369" s="377"/>
      <c r="EZJ369" s="88"/>
      <c r="EZK369" s="88"/>
      <c r="EZM369" s="377"/>
      <c r="EZN369" s="88"/>
      <c r="EZO369" s="88"/>
      <c r="EZQ369" s="377"/>
      <c r="EZR369" s="88"/>
      <c r="EZS369" s="88"/>
      <c r="EZU369" s="377"/>
      <c r="EZV369" s="88"/>
      <c r="EZW369" s="88"/>
      <c r="EZY369" s="377"/>
      <c r="EZZ369" s="88"/>
      <c r="FAA369" s="88"/>
      <c r="FAC369" s="377"/>
      <c r="FAD369" s="88"/>
      <c r="FAE369" s="88"/>
      <c r="FAG369" s="377"/>
      <c r="FAH369" s="88"/>
      <c r="FAI369" s="88"/>
      <c r="FAK369" s="377"/>
      <c r="FAL369" s="88"/>
      <c r="FAM369" s="88"/>
      <c r="FAO369" s="377"/>
      <c r="FAP369" s="88"/>
      <c r="FAQ369" s="88"/>
      <c r="FAS369" s="377"/>
      <c r="FAT369" s="88"/>
      <c r="FAU369" s="88"/>
      <c r="FAW369" s="377"/>
      <c r="FAX369" s="88"/>
      <c r="FAY369" s="88"/>
      <c r="FBA369" s="377"/>
      <c r="FBB369" s="88"/>
      <c r="FBC369" s="88"/>
      <c r="FBE369" s="377"/>
      <c r="FBF369" s="88"/>
      <c r="FBG369" s="88"/>
      <c r="FBI369" s="377"/>
      <c r="FBJ369" s="88"/>
      <c r="FBK369" s="88"/>
      <c r="FBM369" s="377"/>
      <c r="FBN369" s="88"/>
      <c r="FBO369" s="88"/>
      <c r="FBQ369" s="377"/>
      <c r="FBR369" s="88"/>
      <c r="FBS369" s="88"/>
      <c r="FBU369" s="377"/>
      <c r="FBV369" s="88"/>
      <c r="FBW369" s="88"/>
      <c r="FBY369" s="377"/>
      <c r="FBZ369" s="88"/>
      <c r="FCA369" s="88"/>
      <c r="FCC369" s="377"/>
      <c r="FCD369" s="88"/>
      <c r="FCE369" s="88"/>
      <c r="FCG369" s="377"/>
      <c r="FCH369" s="88"/>
      <c r="FCI369" s="88"/>
      <c r="FCK369" s="377"/>
      <c r="FCL369" s="88"/>
      <c r="FCM369" s="88"/>
      <c r="FCO369" s="377"/>
      <c r="FCP369" s="88"/>
      <c r="FCQ369" s="88"/>
      <c r="FCS369" s="377"/>
      <c r="FCT369" s="88"/>
      <c r="FCU369" s="88"/>
      <c r="FCW369" s="377"/>
      <c r="FCX369" s="88"/>
      <c r="FCY369" s="88"/>
      <c r="FDA369" s="377"/>
      <c r="FDB369" s="88"/>
      <c r="FDC369" s="88"/>
      <c r="FDE369" s="377"/>
      <c r="FDF369" s="88"/>
      <c r="FDG369" s="88"/>
      <c r="FDI369" s="377"/>
      <c r="FDJ369" s="88"/>
      <c r="FDK369" s="88"/>
      <c r="FDM369" s="377"/>
      <c r="FDN369" s="88"/>
      <c r="FDO369" s="88"/>
      <c r="FDQ369" s="377"/>
      <c r="FDR369" s="88"/>
      <c r="FDS369" s="88"/>
      <c r="FDU369" s="377"/>
      <c r="FDV369" s="88"/>
      <c r="FDW369" s="88"/>
      <c r="FDY369" s="377"/>
      <c r="FDZ369" s="88"/>
      <c r="FEA369" s="88"/>
      <c r="FEC369" s="377"/>
      <c r="FED369" s="88"/>
      <c r="FEE369" s="88"/>
      <c r="FEG369" s="377"/>
      <c r="FEH369" s="88"/>
      <c r="FEI369" s="88"/>
      <c r="FEK369" s="377"/>
      <c r="FEL369" s="88"/>
      <c r="FEM369" s="88"/>
      <c r="FEO369" s="377"/>
      <c r="FEP369" s="88"/>
      <c r="FEQ369" s="88"/>
      <c r="FES369" s="377"/>
      <c r="FET369" s="88"/>
      <c r="FEU369" s="88"/>
      <c r="FEW369" s="377"/>
      <c r="FEX369" s="88"/>
      <c r="FEY369" s="88"/>
      <c r="FFA369" s="377"/>
      <c r="FFB369" s="88"/>
      <c r="FFC369" s="88"/>
      <c r="FFE369" s="377"/>
      <c r="FFF369" s="88"/>
      <c r="FFG369" s="88"/>
      <c r="FFI369" s="377"/>
      <c r="FFJ369" s="88"/>
      <c r="FFK369" s="88"/>
      <c r="FFM369" s="377"/>
      <c r="FFN369" s="88"/>
      <c r="FFO369" s="88"/>
      <c r="FFQ369" s="377"/>
      <c r="FFR369" s="88"/>
      <c r="FFS369" s="88"/>
      <c r="FFU369" s="377"/>
      <c r="FFV369" s="88"/>
      <c r="FFW369" s="88"/>
      <c r="FFY369" s="377"/>
      <c r="FFZ369" s="88"/>
      <c r="FGA369" s="88"/>
      <c r="FGC369" s="377"/>
      <c r="FGD369" s="88"/>
      <c r="FGE369" s="88"/>
      <c r="FGG369" s="377"/>
      <c r="FGH369" s="88"/>
      <c r="FGI369" s="88"/>
      <c r="FGK369" s="377"/>
      <c r="FGL369" s="88"/>
      <c r="FGM369" s="88"/>
      <c r="FGO369" s="377"/>
      <c r="FGP369" s="88"/>
      <c r="FGQ369" s="88"/>
      <c r="FGS369" s="377"/>
      <c r="FGT369" s="88"/>
      <c r="FGU369" s="88"/>
      <c r="FGW369" s="377"/>
      <c r="FGX369" s="88"/>
      <c r="FGY369" s="88"/>
      <c r="FHA369" s="377"/>
      <c r="FHB369" s="88"/>
      <c r="FHC369" s="88"/>
      <c r="FHE369" s="377"/>
      <c r="FHF369" s="88"/>
      <c r="FHG369" s="88"/>
      <c r="FHI369" s="377"/>
      <c r="FHJ369" s="88"/>
      <c r="FHK369" s="88"/>
      <c r="FHM369" s="377"/>
      <c r="FHN369" s="88"/>
      <c r="FHO369" s="88"/>
      <c r="FHQ369" s="377"/>
      <c r="FHR369" s="88"/>
      <c r="FHS369" s="88"/>
      <c r="FHU369" s="377"/>
      <c r="FHV369" s="88"/>
      <c r="FHW369" s="88"/>
      <c r="FHY369" s="377"/>
      <c r="FHZ369" s="88"/>
      <c r="FIA369" s="88"/>
      <c r="FIC369" s="377"/>
      <c r="FID369" s="88"/>
      <c r="FIE369" s="88"/>
      <c r="FIG369" s="377"/>
      <c r="FIH369" s="88"/>
      <c r="FII369" s="88"/>
      <c r="FIK369" s="377"/>
      <c r="FIL369" s="88"/>
      <c r="FIM369" s="88"/>
      <c r="FIO369" s="377"/>
      <c r="FIP369" s="88"/>
      <c r="FIQ369" s="88"/>
      <c r="FIS369" s="377"/>
      <c r="FIT369" s="88"/>
      <c r="FIU369" s="88"/>
      <c r="FIW369" s="377"/>
      <c r="FIX369" s="88"/>
      <c r="FIY369" s="88"/>
      <c r="FJA369" s="377"/>
      <c r="FJB369" s="88"/>
      <c r="FJC369" s="88"/>
      <c r="FJE369" s="377"/>
      <c r="FJF369" s="88"/>
      <c r="FJG369" s="88"/>
      <c r="FJI369" s="377"/>
      <c r="FJJ369" s="88"/>
      <c r="FJK369" s="88"/>
      <c r="FJM369" s="377"/>
      <c r="FJN369" s="88"/>
      <c r="FJO369" s="88"/>
      <c r="FJQ369" s="377"/>
      <c r="FJR369" s="88"/>
      <c r="FJS369" s="88"/>
      <c r="FJU369" s="377"/>
      <c r="FJV369" s="88"/>
      <c r="FJW369" s="88"/>
      <c r="FJY369" s="377"/>
      <c r="FJZ369" s="88"/>
      <c r="FKA369" s="88"/>
      <c r="FKC369" s="377"/>
      <c r="FKD369" s="88"/>
      <c r="FKE369" s="88"/>
      <c r="FKG369" s="377"/>
      <c r="FKH369" s="88"/>
      <c r="FKI369" s="88"/>
      <c r="FKK369" s="377"/>
      <c r="FKL369" s="88"/>
      <c r="FKM369" s="88"/>
      <c r="FKO369" s="377"/>
      <c r="FKP369" s="88"/>
      <c r="FKQ369" s="88"/>
      <c r="FKS369" s="377"/>
      <c r="FKT369" s="88"/>
      <c r="FKU369" s="88"/>
      <c r="FKW369" s="377"/>
      <c r="FKX369" s="88"/>
      <c r="FKY369" s="88"/>
      <c r="FLA369" s="377"/>
      <c r="FLB369" s="88"/>
      <c r="FLC369" s="88"/>
      <c r="FLE369" s="377"/>
      <c r="FLF369" s="88"/>
      <c r="FLG369" s="88"/>
      <c r="FLI369" s="377"/>
      <c r="FLJ369" s="88"/>
      <c r="FLK369" s="88"/>
      <c r="FLM369" s="377"/>
      <c r="FLN369" s="88"/>
      <c r="FLO369" s="88"/>
      <c r="FLQ369" s="377"/>
      <c r="FLR369" s="88"/>
      <c r="FLS369" s="88"/>
      <c r="FLU369" s="377"/>
      <c r="FLV369" s="88"/>
      <c r="FLW369" s="88"/>
      <c r="FLY369" s="377"/>
      <c r="FLZ369" s="88"/>
      <c r="FMA369" s="88"/>
      <c r="FMC369" s="377"/>
      <c r="FMD369" s="88"/>
      <c r="FME369" s="88"/>
      <c r="FMG369" s="377"/>
      <c r="FMH369" s="88"/>
      <c r="FMI369" s="88"/>
      <c r="FMK369" s="377"/>
      <c r="FML369" s="88"/>
      <c r="FMM369" s="88"/>
      <c r="FMO369" s="377"/>
      <c r="FMP369" s="88"/>
      <c r="FMQ369" s="88"/>
      <c r="FMS369" s="377"/>
      <c r="FMT369" s="88"/>
      <c r="FMU369" s="88"/>
      <c r="FMW369" s="377"/>
      <c r="FMX369" s="88"/>
      <c r="FMY369" s="88"/>
      <c r="FNA369" s="377"/>
      <c r="FNB369" s="88"/>
      <c r="FNC369" s="88"/>
      <c r="FNE369" s="377"/>
      <c r="FNF369" s="88"/>
      <c r="FNG369" s="88"/>
      <c r="FNI369" s="377"/>
      <c r="FNJ369" s="88"/>
      <c r="FNK369" s="88"/>
      <c r="FNM369" s="377"/>
      <c r="FNN369" s="88"/>
      <c r="FNO369" s="88"/>
      <c r="FNQ369" s="377"/>
      <c r="FNR369" s="88"/>
      <c r="FNS369" s="88"/>
      <c r="FNU369" s="377"/>
      <c r="FNV369" s="88"/>
      <c r="FNW369" s="88"/>
      <c r="FNY369" s="377"/>
      <c r="FNZ369" s="88"/>
      <c r="FOA369" s="88"/>
      <c r="FOC369" s="377"/>
      <c r="FOD369" s="88"/>
      <c r="FOE369" s="88"/>
      <c r="FOG369" s="377"/>
      <c r="FOH369" s="88"/>
      <c r="FOI369" s="88"/>
      <c r="FOK369" s="377"/>
      <c r="FOL369" s="88"/>
      <c r="FOM369" s="88"/>
      <c r="FOO369" s="377"/>
      <c r="FOP369" s="88"/>
      <c r="FOQ369" s="88"/>
      <c r="FOS369" s="377"/>
      <c r="FOT369" s="88"/>
      <c r="FOU369" s="88"/>
      <c r="FOW369" s="377"/>
      <c r="FOX369" s="88"/>
      <c r="FOY369" s="88"/>
      <c r="FPA369" s="377"/>
      <c r="FPB369" s="88"/>
      <c r="FPC369" s="88"/>
      <c r="FPE369" s="377"/>
      <c r="FPF369" s="88"/>
      <c r="FPG369" s="88"/>
      <c r="FPI369" s="377"/>
      <c r="FPJ369" s="88"/>
      <c r="FPK369" s="88"/>
      <c r="FPM369" s="377"/>
      <c r="FPN369" s="88"/>
      <c r="FPO369" s="88"/>
      <c r="FPQ369" s="377"/>
      <c r="FPR369" s="88"/>
      <c r="FPS369" s="88"/>
      <c r="FPU369" s="377"/>
      <c r="FPV369" s="88"/>
      <c r="FPW369" s="88"/>
      <c r="FPY369" s="377"/>
      <c r="FPZ369" s="88"/>
      <c r="FQA369" s="88"/>
      <c r="FQC369" s="377"/>
      <c r="FQD369" s="88"/>
      <c r="FQE369" s="88"/>
      <c r="FQG369" s="377"/>
      <c r="FQH369" s="88"/>
      <c r="FQI369" s="88"/>
      <c r="FQK369" s="377"/>
      <c r="FQL369" s="88"/>
      <c r="FQM369" s="88"/>
      <c r="FQO369" s="377"/>
      <c r="FQP369" s="88"/>
      <c r="FQQ369" s="88"/>
      <c r="FQS369" s="377"/>
      <c r="FQT369" s="88"/>
      <c r="FQU369" s="88"/>
      <c r="FQW369" s="377"/>
      <c r="FQX369" s="88"/>
      <c r="FQY369" s="88"/>
      <c r="FRA369" s="377"/>
      <c r="FRB369" s="88"/>
      <c r="FRC369" s="88"/>
      <c r="FRE369" s="377"/>
      <c r="FRF369" s="88"/>
      <c r="FRG369" s="88"/>
      <c r="FRI369" s="377"/>
      <c r="FRJ369" s="88"/>
      <c r="FRK369" s="88"/>
      <c r="FRM369" s="377"/>
      <c r="FRN369" s="88"/>
      <c r="FRO369" s="88"/>
      <c r="FRQ369" s="377"/>
      <c r="FRR369" s="88"/>
      <c r="FRS369" s="88"/>
      <c r="FRU369" s="377"/>
      <c r="FRV369" s="88"/>
      <c r="FRW369" s="88"/>
      <c r="FRY369" s="377"/>
      <c r="FRZ369" s="88"/>
      <c r="FSA369" s="88"/>
      <c r="FSC369" s="377"/>
      <c r="FSD369" s="88"/>
      <c r="FSE369" s="88"/>
      <c r="FSG369" s="377"/>
      <c r="FSH369" s="88"/>
      <c r="FSI369" s="88"/>
      <c r="FSK369" s="377"/>
      <c r="FSL369" s="88"/>
      <c r="FSM369" s="88"/>
      <c r="FSO369" s="377"/>
      <c r="FSP369" s="88"/>
      <c r="FSQ369" s="88"/>
      <c r="FSS369" s="377"/>
      <c r="FST369" s="88"/>
      <c r="FSU369" s="88"/>
      <c r="FSW369" s="377"/>
      <c r="FSX369" s="88"/>
      <c r="FSY369" s="88"/>
      <c r="FTA369" s="377"/>
      <c r="FTB369" s="88"/>
      <c r="FTC369" s="88"/>
      <c r="FTE369" s="377"/>
      <c r="FTF369" s="88"/>
      <c r="FTG369" s="88"/>
      <c r="FTI369" s="377"/>
      <c r="FTJ369" s="88"/>
      <c r="FTK369" s="88"/>
      <c r="FTM369" s="377"/>
      <c r="FTN369" s="88"/>
      <c r="FTO369" s="88"/>
      <c r="FTQ369" s="377"/>
      <c r="FTR369" s="88"/>
      <c r="FTS369" s="88"/>
      <c r="FTU369" s="377"/>
      <c r="FTV369" s="88"/>
      <c r="FTW369" s="88"/>
      <c r="FTY369" s="377"/>
      <c r="FTZ369" s="88"/>
      <c r="FUA369" s="88"/>
      <c r="FUC369" s="377"/>
      <c r="FUD369" s="88"/>
      <c r="FUE369" s="88"/>
      <c r="FUG369" s="377"/>
      <c r="FUH369" s="88"/>
      <c r="FUI369" s="88"/>
      <c r="FUK369" s="377"/>
      <c r="FUL369" s="88"/>
      <c r="FUM369" s="88"/>
      <c r="FUO369" s="377"/>
      <c r="FUP369" s="88"/>
      <c r="FUQ369" s="88"/>
      <c r="FUS369" s="377"/>
      <c r="FUT369" s="88"/>
      <c r="FUU369" s="88"/>
      <c r="FUW369" s="377"/>
      <c r="FUX369" s="88"/>
      <c r="FUY369" s="88"/>
      <c r="FVA369" s="377"/>
      <c r="FVB369" s="88"/>
      <c r="FVC369" s="88"/>
      <c r="FVE369" s="377"/>
      <c r="FVF369" s="88"/>
      <c r="FVG369" s="88"/>
      <c r="FVI369" s="377"/>
      <c r="FVJ369" s="88"/>
      <c r="FVK369" s="88"/>
      <c r="FVM369" s="377"/>
      <c r="FVN369" s="88"/>
      <c r="FVO369" s="88"/>
      <c r="FVQ369" s="377"/>
      <c r="FVR369" s="88"/>
      <c r="FVS369" s="88"/>
      <c r="FVU369" s="377"/>
      <c r="FVV369" s="88"/>
      <c r="FVW369" s="88"/>
      <c r="FVY369" s="377"/>
      <c r="FVZ369" s="88"/>
      <c r="FWA369" s="88"/>
      <c r="FWC369" s="377"/>
      <c r="FWD369" s="88"/>
      <c r="FWE369" s="88"/>
      <c r="FWG369" s="377"/>
      <c r="FWH369" s="88"/>
      <c r="FWI369" s="88"/>
      <c r="FWK369" s="377"/>
      <c r="FWL369" s="88"/>
      <c r="FWM369" s="88"/>
      <c r="FWO369" s="377"/>
      <c r="FWP369" s="88"/>
      <c r="FWQ369" s="88"/>
      <c r="FWS369" s="377"/>
      <c r="FWT369" s="88"/>
      <c r="FWU369" s="88"/>
      <c r="FWW369" s="377"/>
      <c r="FWX369" s="88"/>
      <c r="FWY369" s="88"/>
      <c r="FXA369" s="377"/>
      <c r="FXB369" s="88"/>
      <c r="FXC369" s="88"/>
      <c r="FXE369" s="377"/>
      <c r="FXF369" s="88"/>
      <c r="FXG369" s="88"/>
      <c r="FXI369" s="377"/>
      <c r="FXJ369" s="88"/>
      <c r="FXK369" s="88"/>
      <c r="FXM369" s="377"/>
      <c r="FXN369" s="88"/>
      <c r="FXO369" s="88"/>
      <c r="FXQ369" s="377"/>
      <c r="FXR369" s="88"/>
      <c r="FXS369" s="88"/>
      <c r="FXU369" s="377"/>
      <c r="FXV369" s="88"/>
      <c r="FXW369" s="88"/>
      <c r="FXY369" s="377"/>
      <c r="FXZ369" s="88"/>
      <c r="FYA369" s="88"/>
      <c r="FYC369" s="377"/>
      <c r="FYD369" s="88"/>
      <c r="FYE369" s="88"/>
      <c r="FYG369" s="377"/>
      <c r="FYH369" s="88"/>
      <c r="FYI369" s="88"/>
      <c r="FYK369" s="377"/>
      <c r="FYL369" s="88"/>
      <c r="FYM369" s="88"/>
      <c r="FYO369" s="377"/>
      <c r="FYP369" s="88"/>
      <c r="FYQ369" s="88"/>
      <c r="FYS369" s="377"/>
      <c r="FYT369" s="88"/>
      <c r="FYU369" s="88"/>
      <c r="FYW369" s="377"/>
      <c r="FYX369" s="88"/>
      <c r="FYY369" s="88"/>
      <c r="FZA369" s="377"/>
      <c r="FZB369" s="88"/>
      <c r="FZC369" s="88"/>
      <c r="FZE369" s="377"/>
      <c r="FZF369" s="88"/>
      <c r="FZG369" s="88"/>
      <c r="FZI369" s="377"/>
      <c r="FZJ369" s="88"/>
      <c r="FZK369" s="88"/>
      <c r="FZM369" s="377"/>
      <c r="FZN369" s="88"/>
      <c r="FZO369" s="88"/>
      <c r="FZQ369" s="377"/>
      <c r="FZR369" s="88"/>
      <c r="FZS369" s="88"/>
      <c r="FZU369" s="377"/>
      <c r="FZV369" s="88"/>
      <c r="FZW369" s="88"/>
      <c r="FZY369" s="377"/>
      <c r="FZZ369" s="88"/>
      <c r="GAA369" s="88"/>
      <c r="GAC369" s="377"/>
      <c r="GAD369" s="88"/>
      <c r="GAE369" s="88"/>
      <c r="GAG369" s="377"/>
      <c r="GAH369" s="88"/>
      <c r="GAI369" s="88"/>
      <c r="GAK369" s="377"/>
      <c r="GAL369" s="88"/>
      <c r="GAM369" s="88"/>
      <c r="GAO369" s="377"/>
      <c r="GAP369" s="88"/>
      <c r="GAQ369" s="88"/>
      <c r="GAS369" s="377"/>
      <c r="GAT369" s="88"/>
      <c r="GAU369" s="88"/>
      <c r="GAW369" s="377"/>
      <c r="GAX369" s="88"/>
      <c r="GAY369" s="88"/>
      <c r="GBA369" s="377"/>
      <c r="GBB369" s="88"/>
      <c r="GBC369" s="88"/>
      <c r="GBE369" s="377"/>
      <c r="GBF369" s="88"/>
      <c r="GBG369" s="88"/>
      <c r="GBI369" s="377"/>
      <c r="GBJ369" s="88"/>
      <c r="GBK369" s="88"/>
      <c r="GBM369" s="377"/>
      <c r="GBN369" s="88"/>
      <c r="GBO369" s="88"/>
      <c r="GBQ369" s="377"/>
      <c r="GBR369" s="88"/>
      <c r="GBS369" s="88"/>
      <c r="GBU369" s="377"/>
      <c r="GBV369" s="88"/>
      <c r="GBW369" s="88"/>
      <c r="GBY369" s="377"/>
      <c r="GBZ369" s="88"/>
      <c r="GCA369" s="88"/>
      <c r="GCC369" s="377"/>
      <c r="GCD369" s="88"/>
      <c r="GCE369" s="88"/>
      <c r="GCG369" s="377"/>
      <c r="GCH369" s="88"/>
      <c r="GCI369" s="88"/>
      <c r="GCK369" s="377"/>
      <c r="GCL369" s="88"/>
      <c r="GCM369" s="88"/>
      <c r="GCO369" s="377"/>
      <c r="GCP369" s="88"/>
      <c r="GCQ369" s="88"/>
      <c r="GCS369" s="377"/>
      <c r="GCT369" s="88"/>
      <c r="GCU369" s="88"/>
      <c r="GCW369" s="377"/>
      <c r="GCX369" s="88"/>
      <c r="GCY369" s="88"/>
      <c r="GDA369" s="377"/>
      <c r="GDB369" s="88"/>
      <c r="GDC369" s="88"/>
      <c r="GDE369" s="377"/>
      <c r="GDF369" s="88"/>
      <c r="GDG369" s="88"/>
      <c r="GDI369" s="377"/>
      <c r="GDJ369" s="88"/>
      <c r="GDK369" s="88"/>
      <c r="GDM369" s="377"/>
      <c r="GDN369" s="88"/>
      <c r="GDO369" s="88"/>
      <c r="GDQ369" s="377"/>
      <c r="GDR369" s="88"/>
      <c r="GDS369" s="88"/>
      <c r="GDU369" s="377"/>
      <c r="GDV369" s="88"/>
      <c r="GDW369" s="88"/>
      <c r="GDY369" s="377"/>
      <c r="GDZ369" s="88"/>
      <c r="GEA369" s="88"/>
      <c r="GEC369" s="377"/>
      <c r="GED369" s="88"/>
      <c r="GEE369" s="88"/>
      <c r="GEG369" s="377"/>
      <c r="GEH369" s="88"/>
      <c r="GEI369" s="88"/>
      <c r="GEK369" s="377"/>
      <c r="GEL369" s="88"/>
      <c r="GEM369" s="88"/>
      <c r="GEO369" s="377"/>
      <c r="GEP369" s="88"/>
      <c r="GEQ369" s="88"/>
      <c r="GES369" s="377"/>
      <c r="GET369" s="88"/>
      <c r="GEU369" s="88"/>
      <c r="GEW369" s="377"/>
      <c r="GEX369" s="88"/>
      <c r="GEY369" s="88"/>
      <c r="GFA369" s="377"/>
      <c r="GFB369" s="88"/>
      <c r="GFC369" s="88"/>
      <c r="GFE369" s="377"/>
      <c r="GFF369" s="88"/>
      <c r="GFG369" s="88"/>
      <c r="GFI369" s="377"/>
      <c r="GFJ369" s="88"/>
      <c r="GFK369" s="88"/>
      <c r="GFM369" s="377"/>
      <c r="GFN369" s="88"/>
      <c r="GFO369" s="88"/>
      <c r="GFQ369" s="377"/>
      <c r="GFR369" s="88"/>
      <c r="GFS369" s="88"/>
      <c r="GFU369" s="377"/>
      <c r="GFV369" s="88"/>
      <c r="GFW369" s="88"/>
      <c r="GFY369" s="377"/>
      <c r="GFZ369" s="88"/>
      <c r="GGA369" s="88"/>
      <c r="GGC369" s="377"/>
      <c r="GGD369" s="88"/>
      <c r="GGE369" s="88"/>
      <c r="GGG369" s="377"/>
      <c r="GGH369" s="88"/>
      <c r="GGI369" s="88"/>
      <c r="GGK369" s="377"/>
      <c r="GGL369" s="88"/>
      <c r="GGM369" s="88"/>
      <c r="GGO369" s="377"/>
      <c r="GGP369" s="88"/>
      <c r="GGQ369" s="88"/>
      <c r="GGS369" s="377"/>
      <c r="GGT369" s="88"/>
      <c r="GGU369" s="88"/>
      <c r="GGW369" s="377"/>
      <c r="GGX369" s="88"/>
      <c r="GGY369" s="88"/>
      <c r="GHA369" s="377"/>
      <c r="GHB369" s="88"/>
      <c r="GHC369" s="88"/>
      <c r="GHE369" s="377"/>
      <c r="GHF369" s="88"/>
      <c r="GHG369" s="88"/>
      <c r="GHI369" s="377"/>
      <c r="GHJ369" s="88"/>
      <c r="GHK369" s="88"/>
      <c r="GHM369" s="377"/>
      <c r="GHN369" s="88"/>
      <c r="GHO369" s="88"/>
      <c r="GHQ369" s="377"/>
      <c r="GHR369" s="88"/>
      <c r="GHS369" s="88"/>
      <c r="GHU369" s="377"/>
      <c r="GHV369" s="88"/>
      <c r="GHW369" s="88"/>
      <c r="GHY369" s="377"/>
      <c r="GHZ369" s="88"/>
      <c r="GIA369" s="88"/>
      <c r="GIC369" s="377"/>
      <c r="GID369" s="88"/>
      <c r="GIE369" s="88"/>
      <c r="GIG369" s="377"/>
      <c r="GIH369" s="88"/>
      <c r="GII369" s="88"/>
      <c r="GIK369" s="377"/>
      <c r="GIL369" s="88"/>
      <c r="GIM369" s="88"/>
      <c r="GIO369" s="377"/>
      <c r="GIP369" s="88"/>
      <c r="GIQ369" s="88"/>
      <c r="GIS369" s="377"/>
      <c r="GIT369" s="88"/>
      <c r="GIU369" s="88"/>
      <c r="GIW369" s="377"/>
      <c r="GIX369" s="88"/>
      <c r="GIY369" s="88"/>
      <c r="GJA369" s="377"/>
      <c r="GJB369" s="88"/>
      <c r="GJC369" s="88"/>
      <c r="GJE369" s="377"/>
      <c r="GJF369" s="88"/>
      <c r="GJG369" s="88"/>
      <c r="GJI369" s="377"/>
      <c r="GJJ369" s="88"/>
      <c r="GJK369" s="88"/>
      <c r="GJM369" s="377"/>
      <c r="GJN369" s="88"/>
      <c r="GJO369" s="88"/>
      <c r="GJQ369" s="377"/>
      <c r="GJR369" s="88"/>
      <c r="GJS369" s="88"/>
      <c r="GJU369" s="377"/>
      <c r="GJV369" s="88"/>
      <c r="GJW369" s="88"/>
      <c r="GJY369" s="377"/>
      <c r="GJZ369" s="88"/>
      <c r="GKA369" s="88"/>
      <c r="GKC369" s="377"/>
      <c r="GKD369" s="88"/>
      <c r="GKE369" s="88"/>
      <c r="GKG369" s="377"/>
      <c r="GKH369" s="88"/>
      <c r="GKI369" s="88"/>
      <c r="GKK369" s="377"/>
      <c r="GKL369" s="88"/>
      <c r="GKM369" s="88"/>
      <c r="GKO369" s="377"/>
      <c r="GKP369" s="88"/>
      <c r="GKQ369" s="88"/>
      <c r="GKS369" s="377"/>
      <c r="GKT369" s="88"/>
      <c r="GKU369" s="88"/>
      <c r="GKW369" s="377"/>
      <c r="GKX369" s="88"/>
      <c r="GKY369" s="88"/>
      <c r="GLA369" s="377"/>
      <c r="GLB369" s="88"/>
      <c r="GLC369" s="88"/>
      <c r="GLE369" s="377"/>
      <c r="GLF369" s="88"/>
      <c r="GLG369" s="88"/>
      <c r="GLI369" s="377"/>
      <c r="GLJ369" s="88"/>
      <c r="GLK369" s="88"/>
      <c r="GLM369" s="377"/>
      <c r="GLN369" s="88"/>
      <c r="GLO369" s="88"/>
      <c r="GLQ369" s="377"/>
      <c r="GLR369" s="88"/>
      <c r="GLS369" s="88"/>
      <c r="GLU369" s="377"/>
      <c r="GLV369" s="88"/>
      <c r="GLW369" s="88"/>
      <c r="GLY369" s="377"/>
      <c r="GLZ369" s="88"/>
      <c r="GMA369" s="88"/>
      <c r="GMC369" s="377"/>
      <c r="GMD369" s="88"/>
      <c r="GME369" s="88"/>
      <c r="GMG369" s="377"/>
      <c r="GMH369" s="88"/>
      <c r="GMI369" s="88"/>
      <c r="GMK369" s="377"/>
      <c r="GML369" s="88"/>
      <c r="GMM369" s="88"/>
      <c r="GMO369" s="377"/>
      <c r="GMP369" s="88"/>
      <c r="GMQ369" s="88"/>
      <c r="GMS369" s="377"/>
      <c r="GMT369" s="88"/>
      <c r="GMU369" s="88"/>
      <c r="GMW369" s="377"/>
      <c r="GMX369" s="88"/>
      <c r="GMY369" s="88"/>
      <c r="GNA369" s="377"/>
      <c r="GNB369" s="88"/>
      <c r="GNC369" s="88"/>
      <c r="GNE369" s="377"/>
      <c r="GNF369" s="88"/>
      <c r="GNG369" s="88"/>
      <c r="GNI369" s="377"/>
      <c r="GNJ369" s="88"/>
      <c r="GNK369" s="88"/>
      <c r="GNM369" s="377"/>
      <c r="GNN369" s="88"/>
      <c r="GNO369" s="88"/>
      <c r="GNQ369" s="377"/>
      <c r="GNR369" s="88"/>
      <c r="GNS369" s="88"/>
      <c r="GNU369" s="377"/>
      <c r="GNV369" s="88"/>
      <c r="GNW369" s="88"/>
      <c r="GNY369" s="377"/>
      <c r="GNZ369" s="88"/>
      <c r="GOA369" s="88"/>
      <c r="GOC369" s="377"/>
      <c r="GOD369" s="88"/>
      <c r="GOE369" s="88"/>
      <c r="GOG369" s="377"/>
      <c r="GOH369" s="88"/>
      <c r="GOI369" s="88"/>
      <c r="GOK369" s="377"/>
      <c r="GOL369" s="88"/>
      <c r="GOM369" s="88"/>
      <c r="GOO369" s="377"/>
      <c r="GOP369" s="88"/>
      <c r="GOQ369" s="88"/>
      <c r="GOS369" s="377"/>
      <c r="GOT369" s="88"/>
      <c r="GOU369" s="88"/>
      <c r="GOW369" s="377"/>
      <c r="GOX369" s="88"/>
      <c r="GOY369" s="88"/>
      <c r="GPA369" s="377"/>
      <c r="GPB369" s="88"/>
      <c r="GPC369" s="88"/>
      <c r="GPE369" s="377"/>
      <c r="GPF369" s="88"/>
      <c r="GPG369" s="88"/>
      <c r="GPI369" s="377"/>
      <c r="GPJ369" s="88"/>
      <c r="GPK369" s="88"/>
      <c r="GPM369" s="377"/>
      <c r="GPN369" s="88"/>
      <c r="GPO369" s="88"/>
      <c r="GPQ369" s="377"/>
      <c r="GPR369" s="88"/>
      <c r="GPS369" s="88"/>
      <c r="GPU369" s="377"/>
      <c r="GPV369" s="88"/>
      <c r="GPW369" s="88"/>
      <c r="GPY369" s="377"/>
      <c r="GPZ369" s="88"/>
      <c r="GQA369" s="88"/>
      <c r="GQC369" s="377"/>
      <c r="GQD369" s="88"/>
      <c r="GQE369" s="88"/>
      <c r="GQG369" s="377"/>
      <c r="GQH369" s="88"/>
      <c r="GQI369" s="88"/>
      <c r="GQK369" s="377"/>
      <c r="GQL369" s="88"/>
      <c r="GQM369" s="88"/>
      <c r="GQO369" s="377"/>
      <c r="GQP369" s="88"/>
      <c r="GQQ369" s="88"/>
      <c r="GQS369" s="377"/>
      <c r="GQT369" s="88"/>
      <c r="GQU369" s="88"/>
      <c r="GQW369" s="377"/>
      <c r="GQX369" s="88"/>
      <c r="GQY369" s="88"/>
      <c r="GRA369" s="377"/>
      <c r="GRB369" s="88"/>
      <c r="GRC369" s="88"/>
      <c r="GRE369" s="377"/>
      <c r="GRF369" s="88"/>
      <c r="GRG369" s="88"/>
      <c r="GRI369" s="377"/>
      <c r="GRJ369" s="88"/>
      <c r="GRK369" s="88"/>
      <c r="GRM369" s="377"/>
      <c r="GRN369" s="88"/>
      <c r="GRO369" s="88"/>
      <c r="GRQ369" s="377"/>
      <c r="GRR369" s="88"/>
      <c r="GRS369" s="88"/>
      <c r="GRU369" s="377"/>
      <c r="GRV369" s="88"/>
      <c r="GRW369" s="88"/>
      <c r="GRY369" s="377"/>
      <c r="GRZ369" s="88"/>
      <c r="GSA369" s="88"/>
      <c r="GSC369" s="377"/>
      <c r="GSD369" s="88"/>
      <c r="GSE369" s="88"/>
      <c r="GSG369" s="377"/>
      <c r="GSH369" s="88"/>
      <c r="GSI369" s="88"/>
      <c r="GSK369" s="377"/>
      <c r="GSL369" s="88"/>
      <c r="GSM369" s="88"/>
      <c r="GSO369" s="377"/>
      <c r="GSP369" s="88"/>
      <c r="GSQ369" s="88"/>
      <c r="GSS369" s="377"/>
      <c r="GST369" s="88"/>
      <c r="GSU369" s="88"/>
      <c r="GSW369" s="377"/>
      <c r="GSX369" s="88"/>
      <c r="GSY369" s="88"/>
      <c r="GTA369" s="377"/>
      <c r="GTB369" s="88"/>
      <c r="GTC369" s="88"/>
      <c r="GTE369" s="377"/>
      <c r="GTF369" s="88"/>
      <c r="GTG369" s="88"/>
      <c r="GTI369" s="377"/>
      <c r="GTJ369" s="88"/>
      <c r="GTK369" s="88"/>
      <c r="GTM369" s="377"/>
      <c r="GTN369" s="88"/>
      <c r="GTO369" s="88"/>
      <c r="GTQ369" s="377"/>
      <c r="GTR369" s="88"/>
      <c r="GTS369" s="88"/>
      <c r="GTU369" s="377"/>
      <c r="GTV369" s="88"/>
      <c r="GTW369" s="88"/>
      <c r="GTY369" s="377"/>
      <c r="GTZ369" s="88"/>
      <c r="GUA369" s="88"/>
      <c r="GUC369" s="377"/>
      <c r="GUD369" s="88"/>
      <c r="GUE369" s="88"/>
      <c r="GUG369" s="377"/>
      <c r="GUH369" s="88"/>
      <c r="GUI369" s="88"/>
      <c r="GUK369" s="377"/>
      <c r="GUL369" s="88"/>
      <c r="GUM369" s="88"/>
      <c r="GUO369" s="377"/>
      <c r="GUP369" s="88"/>
      <c r="GUQ369" s="88"/>
      <c r="GUS369" s="377"/>
      <c r="GUT369" s="88"/>
      <c r="GUU369" s="88"/>
      <c r="GUW369" s="377"/>
      <c r="GUX369" s="88"/>
      <c r="GUY369" s="88"/>
      <c r="GVA369" s="377"/>
      <c r="GVB369" s="88"/>
      <c r="GVC369" s="88"/>
      <c r="GVE369" s="377"/>
      <c r="GVF369" s="88"/>
      <c r="GVG369" s="88"/>
      <c r="GVI369" s="377"/>
      <c r="GVJ369" s="88"/>
      <c r="GVK369" s="88"/>
      <c r="GVM369" s="377"/>
      <c r="GVN369" s="88"/>
      <c r="GVO369" s="88"/>
      <c r="GVQ369" s="377"/>
      <c r="GVR369" s="88"/>
      <c r="GVS369" s="88"/>
      <c r="GVU369" s="377"/>
      <c r="GVV369" s="88"/>
      <c r="GVW369" s="88"/>
      <c r="GVY369" s="377"/>
      <c r="GVZ369" s="88"/>
      <c r="GWA369" s="88"/>
      <c r="GWC369" s="377"/>
      <c r="GWD369" s="88"/>
      <c r="GWE369" s="88"/>
      <c r="GWG369" s="377"/>
      <c r="GWH369" s="88"/>
      <c r="GWI369" s="88"/>
      <c r="GWK369" s="377"/>
      <c r="GWL369" s="88"/>
      <c r="GWM369" s="88"/>
      <c r="GWO369" s="377"/>
      <c r="GWP369" s="88"/>
      <c r="GWQ369" s="88"/>
      <c r="GWS369" s="377"/>
      <c r="GWT369" s="88"/>
      <c r="GWU369" s="88"/>
      <c r="GWW369" s="377"/>
      <c r="GWX369" s="88"/>
      <c r="GWY369" s="88"/>
      <c r="GXA369" s="377"/>
      <c r="GXB369" s="88"/>
      <c r="GXC369" s="88"/>
      <c r="GXE369" s="377"/>
      <c r="GXF369" s="88"/>
      <c r="GXG369" s="88"/>
      <c r="GXI369" s="377"/>
      <c r="GXJ369" s="88"/>
      <c r="GXK369" s="88"/>
      <c r="GXM369" s="377"/>
      <c r="GXN369" s="88"/>
      <c r="GXO369" s="88"/>
      <c r="GXQ369" s="377"/>
      <c r="GXR369" s="88"/>
      <c r="GXS369" s="88"/>
      <c r="GXU369" s="377"/>
      <c r="GXV369" s="88"/>
      <c r="GXW369" s="88"/>
      <c r="GXY369" s="377"/>
      <c r="GXZ369" s="88"/>
      <c r="GYA369" s="88"/>
      <c r="GYC369" s="377"/>
      <c r="GYD369" s="88"/>
      <c r="GYE369" s="88"/>
      <c r="GYG369" s="377"/>
      <c r="GYH369" s="88"/>
      <c r="GYI369" s="88"/>
      <c r="GYK369" s="377"/>
      <c r="GYL369" s="88"/>
      <c r="GYM369" s="88"/>
      <c r="GYO369" s="377"/>
      <c r="GYP369" s="88"/>
      <c r="GYQ369" s="88"/>
      <c r="GYS369" s="377"/>
      <c r="GYT369" s="88"/>
      <c r="GYU369" s="88"/>
      <c r="GYW369" s="377"/>
      <c r="GYX369" s="88"/>
      <c r="GYY369" s="88"/>
      <c r="GZA369" s="377"/>
      <c r="GZB369" s="88"/>
      <c r="GZC369" s="88"/>
      <c r="GZE369" s="377"/>
      <c r="GZF369" s="88"/>
      <c r="GZG369" s="88"/>
      <c r="GZI369" s="377"/>
      <c r="GZJ369" s="88"/>
      <c r="GZK369" s="88"/>
      <c r="GZM369" s="377"/>
      <c r="GZN369" s="88"/>
      <c r="GZO369" s="88"/>
      <c r="GZQ369" s="377"/>
      <c r="GZR369" s="88"/>
      <c r="GZS369" s="88"/>
      <c r="GZU369" s="377"/>
      <c r="GZV369" s="88"/>
      <c r="GZW369" s="88"/>
      <c r="GZY369" s="377"/>
      <c r="GZZ369" s="88"/>
      <c r="HAA369" s="88"/>
      <c r="HAC369" s="377"/>
      <c r="HAD369" s="88"/>
      <c r="HAE369" s="88"/>
      <c r="HAG369" s="377"/>
      <c r="HAH369" s="88"/>
      <c r="HAI369" s="88"/>
      <c r="HAK369" s="377"/>
      <c r="HAL369" s="88"/>
      <c r="HAM369" s="88"/>
      <c r="HAO369" s="377"/>
      <c r="HAP369" s="88"/>
      <c r="HAQ369" s="88"/>
      <c r="HAS369" s="377"/>
      <c r="HAT369" s="88"/>
      <c r="HAU369" s="88"/>
      <c r="HAW369" s="377"/>
      <c r="HAX369" s="88"/>
      <c r="HAY369" s="88"/>
      <c r="HBA369" s="377"/>
      <c r="HBB369" s="88"/>
      <c r="HBC369" s="88"/>
      <c r="HBE369" s="377"/>
      <c r="HBF369" s="88"/>
      <c r="HBG369" s="88"/>
      <c r="HBI369" s="377"/>
      <c r="HBJ369" s="88"/>
      <c r="HBK369" s="88"/>
      <c r="HBM369" s="377"/>
      <c r="HBN369" s="88"/>
      <c r="HBO369" s="88"/>
      <c r="HBQ369" s="377"/>
      <c r="HBR369" s="88"/>
      <c r="HBS369" s="88"/>
      <c r="HBU369" s="377"/>
      <c r="HBV369" s="88"/>
      <c r="HBW369" s="88"/>
      <c r="HBY369" s="377"/>
      <c r="HBZ369" s="88"/>
      <c r="HCA369" s="88"/>
      <c r="HCC369" s="377"/>
      <c r="HCD369" s="88"/>
      <c r="HCE369" s="88"/>
      <c r="HCG369" s="377"/>
      <c r="HCH369" s="88"/>
      <c r="HCI369" s="88"/>
      <c r="HCK369" s="377"/>
      <c r="HCL369" s="88"/>
      <c r="HCM369" s="88"/>
      <c r="HCO369" s="377"/>
      <c r="HCP369" s="88"/>
      <c r="HCQ369" s="88"/>
      <c r="HCS369" s="377"/>
      <c r="HCT369" s="88"/>
      <c r="HCU369" s="88"/>
      <c r="HCW369" s="377"/>
      <c r="HCX369" s="88"/>
      <c r="HCY369" s="88"/>
      <c r="HDA369" s="377"/>
      <c r="HDB369" s="88"/>
      <c r="HDC369" s="88"/>
      <c r="HDE369" s="377"/>
      <c r="HDF369" s="88"/>
      <c r="HDG369" s="88"/>
      <c r="HDI369" s="377"/>
      <c r="HDJ369" s="88"/>
      <c r="HDK369" s="88"/>
      <c r="HDM369" s="377"/>
      <c r="HDN369" s="88"/>
      <c r="HDO369" s="88"/>
      <c r="HDQ369" s="377"/>
      <c r="HDR369" s="88"/>
      <c r="HDS369" s="88"/>
      <c r="HDU369" s="377"/>
      <c r="HDV369" s="88"/>
      <c r="HDW369" s="88"/>
      <c r="HDY369" s="377"/>
      <c r="HDZ369" s="88"/>
      <c r="HEA369" s="88"/>
      <c r="HEC369" s="377"/>
      <c r="HED369" s="88"/>
      <c r="HEE369" s="88"/>
      <c r="HEG369" s="377"/>
      <c r="HEH369" s="88"/>
      <c r="HEI369" s="88"/>
      <c r="HEK369" s="377"/>
      <c r="HEL369" s="88"/>
      <c r="HEM369" s="88"/>
      <c r="HEO369" s="377"/>
      <c r="HEP369" s="88"/>
      <c r="HEQ369" s="88"/>
      <c r="HES369" s="377"/>
      <c r="HET369" s="88"/>
      <c r="HEU369" s="88"/>
      <c r="HEW369" s="377"/>
      <c r="HEX369" s="88"/>
      <c r="HEY369" s="88"/>
      <c r="HFA369" s="377"/>
      <c r="HFB369" s="88"/>
      <c r="HFC369" s="88"/>
      <c r="HFE369" s="377"/>
      <c r="HFF369" s="88"/>
      <c r="HFG369" s="88"/>
      <c r="HFI369" s="377"/>
      <c r="HFJ369" s="88"/>
      <c r="HFK369" s="88"/>
      <c r="HFM369" s="377"/>
      <c r="HFN369" s="88"/>
      <c r="HFO369" s="88"/>
      <c r="HFQ369" s="377"/>
      <c r="HFR369" s="88"/>
      <c r="HFS369" s="88"/>
      <c r="HFU369" s="377"/>
      <c r="HFV369" s="88"/>
      <c r="HFW369" s="88"/>
      <c r="HFY369" s="377"/>
      <c r="HFZ369" s="88"/>
      <c r="HGA369" s="88"/>
      <c r="HGC369" s="377"/>
      <c r="HGD369" s="88"/>
      <c r="HGE369" s="88"/>
      <c r="HGG369" s="377"/>
      <c r="HGH369" s="88"/>
      <c r="HGI369" s="88"/>
      <c r="HGK369" s="377"/>
      <c r="HGL369" s="88"/>
      <c r="HGM369" s="88"/>
      <c r="HGO369" s="377"/>
      <c r="HGP369" s="88"/>
      <c r="HGQ369" s="88"/>
      <c r="HGS369" s="377"/>
      <c r="HGT369" s="88"/>
      <c r="HGU369" s="88"/>
      <c r="HGW369" s="377"/>
      <c r="HGX369" s="88"/>
      <c r="HGY369" s="88"/>
      <c r="HHA369" s="377"/>
      <c r="HHB369" s="88"/>
      <c r="HHC369" s="88"/>
      <c r="HHE369" s="377"/>
      <c r="HHF369" s="88"/>
      <c r="HHG369" s="88"/>
      <c r="HHI369" s="377"/>
      <c r="HHJ369" s="88"/>
      <c r="HHK369" s="88"/>
      <c r="HHM369" s="377"/>
      <c r="HHN369" s="88"/>
      <c r="HHO369" s="88"/>
      <c r="HHQ369" s="377"/>
      <c r="HHR369" s="88"/>
      <c r="HHS369" s="88"/>
      <c r="HHU369" s="377"/>
      <c r="HHV369" s="88"/>
      <c r="HHW369" s="88"/>
      <c r="HHY369" s="377"/>
      <c r="HHZ369" s="88"/>
      <c r="HIA369" s="88"/>
      <c r="HIC369" s="377"/>
      <c r="HID369" s="88"/>
      <c r="HIE369" s="88"/>
      <c r="HIG369" s="377"/>
      <c r="HIH369" s="88"/>
      <c r="HII369" s="88"/>
      <c r="HIK369" s="377"/>
      <c r="HIL369" s="88"/>
      <c r="HIM369" s="88"/>
      <c r="HIO369" s="377"/>
      <c r="HIP369" s="88"/>
      <c r="HIQ369" s="88"/>
      <c r="HIS369" s="377"/>
      <c r="HIT369" s="88"/>
      <c r="HIU369" s="88"/>
      <c r="HIW369" s="377"/>
      <c r="HIX369" s="88"/>
      <c r="HIY369" s="88"/>
      <c r="HJA369" s="377"/>
      <c r="HJB369" s="88"/>
      <c r="HJC369" s="88"/>
      <c r="HJE369" s="377"/>
      <c r="HJF369" s="88"/>
      <c r="HJG369" s="88"/>
      <c r="HJI369" s="377"/>
      <c r="HJJ369" s="88"/>
      <c r="HJK369" s="88"/>
      <c r="HJM369" s="377"/>
      <c r="HJN369" s="88"/>
      <c r="HJO369" s="88"/>
      <c r="HJQ369" s="377"/>
      <c r="HJR369" s="88"/>
      <c r="HJS369" s="88"/>
      <c r="HJU369" s="377"/>
      <c r="HJV369" s="88"/>
      <c r="HJW369" s="88"/>
      <c r="HJY369" s="377"/>
      <c r="HJZ369" s="88"/>
      <c r="HKA369" s="88"/>
      <c r="HKC369" s="377"/>
      <c r="HKD369" s="88"/>
      <c r="HKE369" s="88"/>
      <c r="HKG369" s="377"/>
      <c r="HKH369" s="88"/>
      <c r="HKI369" s="88"/>
      <c r="HKK369" s="377"/>
      <c r="HKL369" s="88"/>
      <c r="HKM369" s="88"/>
      <c r="HKO369" s="377"/>
      <c r="HKP369" s="88"/>
      <c r="HKQ369" s="88"/>
      <c r="HKS369" s="377"/>
      <c r="HKT369" s="88"/>
      <c r="HKU369" s="88"/>
      <c r="HKW369" s="377"/>
      <c r="HKX369" s="88"/>
      <c r="HKY369" s="88"/>
      <c r="HLA369" s="377"/>
      <c r="HLB369" s="88"/>
      <c r="HLC369" s="88"/>
      <c r="HLE369" s="377"/>
      <c r="HLF369" s="88"/>
      <c r="HLG369" s="88"/>
      <c r="HLI369" s="377"/>
      <c r="HLJ369" s="88"/>
      <c r="HLK369" s="88"/>
      <c r="HLM369" s="377"/>
      <c r="HLN369" s="88"/>
      <c r="HLO369" s="88"/>
      <c r="HLQ369" s="377"/>
      <c r="HLR369" s="88"/>
      <c r="HLS369" s="88"/>
      <c r="HLU369" s="377"/>
      <c r="HLV369" s="88"/>
      <c r="HLW369" s="88"/>
      <c r="HLY369" s="377"/>
      <c r="HLZ369" s="88"/>
      <c r="HMA369" s="88"/>
      <c r="HMC369" s="377"/>
      <c r="HMD369" s="88"/>
      <c r="HME369" s="88"/>
      <c r="HMG369" s="377"/>
      <c r="HMH369" s="88"/>
      <c r="HMI369" s="88"/>
      <c r="HMK369" s="377"/>
      <c r="HML369" s="88"/>
      <c r="HMM369" s="88"/>
      <c r="HMO369" s="377"/>
      <c r="HMP369" s="88"/>
      <c r="HMQ369" s="88"/>
      <c r="HMS369" s="377"/>
      <c r="HMT369" s="88"/>
      <c r="HMU369" s="88"/>
      <c r="HMW369" s="377"/>
      <c r="HMX369" s="88"/>
      <c r="HMY369" s="88"/>
      <c r="HNA369" s="377"/>
      <c r="HNB369" s="88"/>
      <c r="HNC369" s="88"/>
      <c r="HNE369" s="377"/>
      <c r="HNF369" s="88"/>
      <c r="HNG369" s="88"/>
      <c r="HNI369" s="377"/>
      <c r="HNJ369" s="88"/>
      <c r="HNK369" s="88"/>
      <c r="HNM369" s="377"/>
      <c r="HNN369" s="88"/>
      <c r="HNO369" s="88"/>
      <c r="HNQ369" s="377"/>
      <c r="HNR369" s="88"/>
      <c r="HNS369" s="88"/>
      <c r="HNU369" s="377"/>
      <c r="HNV369" s="88"/>
      <c r="HNW369" s="88"/>
      <c r="HNY369" s="377"/>
      <c r="HNZ369" s="88"/>
      <c r="HOA369" s="88"/>
      <c r="HOC369" s="377"/>
      <c r="HOD369" s="88"/>
      <c r="HOE369" s="88"/>
      <c r="HOG369" s="377"/>
      <c r="HOH369" s="88"/>
      <c r="HOI369" s="88"/>
      <c r="HOK369" s="377"/>
      <c r="HOL369" s="88"/>
      <c r="HOM369" s="88"/>
      <c r="HOO369" s="377"/>
      <c r="HOP369" s="88"/>
      <c r="HOQ369" s="88"/>
      <c r="HOS369" s="377"/>
      <c r="HOT369" s="88"/>
      <c r="HOU369" s="88"/>
      <c r="HOW369" s="377"/>
      <c r="HOX369" s="88"/>
      <c r="HOY369" s="88"/>
      <c r="HPA369" s="377"/>
      <c r="HPB369" s="88"/>
      <c r="HPC369" s="88"/>
      <c r="HPE369" s="377"/>
      <c r="HPF369" s="88"/>
      <c r="HPG369" s="88"/>
      <c r="HPI369" s="377"/>
      <c r="HPJ369" s="88"/>
      <c r="HPK369" s="88"/>
      <c r="HPM369" s="377"/>
      <c r="HPN369" s="88"/>
      <c r="HPO369" s="88"/>
      <c r="HPQ369" s="377"/>
      <c r="HPR369" s="88"/>
      <c r="HPS369" s="88"/>
      <c r="HPU369" s="377"/>
      <c r="HPV369" s="88"/>
      <c r="HPW369" s="88"/>
      <c r="HPY369" s="377"/>
      <c r="HPZ369" s="88"/>
      <c r="HQA369" s="88"/>
      <c r="HQC369" s="377"/>
      <c r="HQD369" s="88"/>
      <c r="HQE369" s="88"/>
      <c r="HQG369" s="377"/>
      <c r="HQH369" s="88"/>
      <c r="HQI369" s="88"/>
      <c r="HQK369" s="377"/>
      <c r="HQL369" s="88"/>
      <c r="HQM369" s="88"/>
      <c r="HQO369" s="377"/>
      <c r="HQP369" s="88"/>
      <c r="HQQ369" s="88"/>
      <c r="HQS369" s="377"/>
      <c r="HQT369" s="88"/>
      <c r="HQU369" s="88"/>
      <c r="HQW369" s="377"/>
      <c r="HQX369" s="88"/>
      <c r="HQY369" s="88"/>
      <c r="HRA369" s="377"/>
      <c r="HRB369" s="88"/>
      <c r="HRC369" s="88"/>
      <c r="HRE369" s="377"/>
      <c r="HRF369" s="88"/>
      <c r="HRG369" s="88"/>
      <c r="HRI369" s="377"/>
      <c r="HRJ369" s="88"/>
      <c r="HRK369" s="88"/>
      <c r="HRM369" s="377"/>
      <c r="HRN369" s="88"/>
      <c r="HRO369" s="88"/>
      <c r="HRQ369" s="377"/>
      <c r="HRR369" s="88"/>
      <c r="HRS369" s="88"/>
      <c r="HRU369" s="377"/>
      <c r="HRV369" s="88"/>
      <c r="HRW369" s="88"/>
      <c r="HRY369" s="377"/>
      <c r="HRZ369" s="88"/>
      <c r="HSA369" s="88"/>
      <c r="HSC369" s="377"/>
      <c r="HSD369" s="88"/>
      <c r="HSE369" s="88"/>
      <c r="HSG369" s="377"/>
      <c r="HSH369" s="88"/>
      <c r="HSI369" s="88"/>
      <c r="HSK369" s="377"/>
      <c r="HSL369" s="88"/>
      <c r="HSM369" s="88"/>
      <c r="HSO369" s="377"/>
      <c r="HSP369" s="88"/>
      <c r="HSQ369" s="88"/>
      <c r="HSS369" s="377"/>
      <c r="HST369" s="88"/>
      <c r="HSU369" s="88"/>
      <c r="HSW369" s="377"/>
      <c r="HSX369" s="88"/>
      <c r="HSY369" s="88"/>
      <c r="HTA369" s="377"/>
      <c r="HTB369" s="88"/>
      <c r="HTC369" s="88"/>
      <c r="HTE369" s="377"/>
      <c r="HTF369" s="88"/>
      <c r="HTG369" s="88"/>
      <c r="HTI369" s="377"/>
      <c r="HTJ369" s="88"/>
      <c r="HTK369" s="88"/>
      <c r="HTM369" s="377"/>
      <c r="HTN369" s="88"/>
      <c r="HTO369" s="88"/>
      <c r="HTQ369" s="377"/>
      <c r="HTR369" s="88"/>
      <c r="HTS369" s="88"/>
      <c r="HTU369" s="377"/>
      <c r="HTV369" s="88"/>
      <c r="HTW369" s="88"/>
      <c r="HTY369" s="377"/>
      <c r="HTZ369" s="88"/>
      <c r="HUA369" s="88"/>
      <c r="HUC369" s="377"/>
      <c r="HUD369" s="88"/>
      <c r="HUE369" s="88"/>
      <c r="HUG369" s="377"/>
      <c r="HUH369" s="88"/>
      <c r="HUI369" s="88"/>
      <c r="HUK369" s="377"/>
      <c r="HUL369" s="88"/>
      <c r="HUM369" s="88"/>
      <c r="HUO369" s="377"/>
      <c r="HUP369" s="88"/>
      <c r="HUQ369" s="88"/>
      <c r="HUS369" s="377"/>
      <c r="HUT369" s="88"/>
      <c r="HUU369" s="88"/>
      <c r="HUW369" s="377"/>
      <c r="HUX369" s="88"/>
      <c r="HUY369" s="88"/>
      <c r="HVA369" s="377"/>
      <c r="HVB369" s="88"/>
      <c r="HVC369" s="88"/>
      <c r="HVE369" s="377"/>
      <c r="HVF369" s="88"/>
      <c r="HVG369" s="88"/>
      <c r="HVI369" s="377"/>
      <c r="HVJ369" s="88"/>
      <c r="HVK369" s="88"/>
      <c r="HVM369" s="377"/>
      <c r="HVN369" s="88"/>
      <c r="HVO369" s="88"/>
      <c r="HVQ369" s="377"/>
      <c r="HVR369" s="88"/>
      <c r="HVS369" s="88"/>
      <c r="HVU369" s="377"/>
      <c r="HVV369" s="88"/>
      <c r="HVW369" s="88"/>
      <c r="HVY369" s="377"/>
      <c r="HVZ369" s="88"/>
      <c r="HWA369" s="88"/>
      <c r="HWC369" s="377"/>
      <c r="HWD369" s="88"/>
      <c r="HWE369" s="88"/>
      <c r="HWG369" s="377"/>
      <c r="HWH369" s="88"/>
      <c r="HWI369" s="88"/>
      <c r="HWK369" s="377"/>
      <c r="HWL369" s="88"/>
      <c r="HWM369" s="88"/>
      <c r="HWO369" s="377"/>
      <c r="HWP369" s="88"/>
      <c r="HWQ369" s="88"/>
      <c r="HWS369" s="377"/>
      <c r="HWT369" s="88"/>
      <c r="HWU369" s="88"/>
      <c r="HWW369" s="377"/>
      <c r="HWX369" s="88"/>
      <c r="HWY369" s="88"/>
      <c r="HXA369" s="377"/>
      <c r="HXB369" s="88"/>
      <c r="HXC369" s="88"/>
      <c r="HXE369" s="377"/>
      <c r="HXF369" s="88"/>
      <c r="HXG369" s="88"/>
      <c r="HXI369" s="377"/>
      <c r="HXJ369" s="88"/>
      <c r="HXK369" s="88"/>
      <c r="HXM369" s="377"/>
      <c r="HXN369" s="88"/>
      <c r="HXO369" s="88"/>
      <c r="HXQ369" s="377"/>
      <c r="HXR369" s="88"/>
      <c r="HXS369" s="88"/>
      <c r="HXU369" s="377"/>
      <c r="HXV369" s="88"/>
      <c r="HXW369" s="88"/>
      <c r="HXY369" s="377"/>
      <c r="HXZ369" s="88"/>
      <c r="HYA369" s="88"/>
      <c r="HYC369" s="377"/>
      <c r="HYD369" s="88"/>
      <c r="HYE369" s="88"/>
      <c r="HYG369" s="377"/>
      <c r="HYH369" s="88"/>
      <c r="HYI369" s="88"/>
      <c r="HYK369" s="377"/>
      <c r="HYL369" s="88"/>
      <c r="HYM369" s="88"/>
      <c r="HYO369" s="377"/>
      <c r="HYP369" s="88"/>
      <c r="HYQ369" s="88"/>
      <c r="HYS369" s="377"/>
      <c r="HYT369" s="88"/>
      <c r="HYU369" s="88"/>
      <c r="HYW369" s="377"/>
      <c r="HYX369" s="88"/>
      <c r="HYY369" s="88"/>
      <c r="HZA369" s="377"/>
      <c r="HZB369" s="88"/>
      <c r="HZC369" s="88"/>
      <c r="HZE369" s="377"/>
      <c r="HZF369" s="88"/>
      <c r="HZG369" s="88"/>
      <c r="HZI369" s="377"/>
      <c r="HZJ369" s="88"/>
      <c r="HZK369" s="88"/>
      <c r="HZM369" s="377"/>
      <c r="HZN369" s="88"/>
      <c r="HZO369" s="88"/>
      <c r="HZQ369" s="377"/>
      <c r="HZR369" s="88"/>
      <c r="HZS369" s="88"/>
      <c r="HZU369" s="377"/>
      <c r="HZV369" s="88"/>
      <c r="HZW369" s="88"/>
      <c r="HZY369" s="377"/>
      <c r="HZZ369" s="88"/>
      <c r="IAA369" s="88"/>
      <c r="IAC369" s="377"/>
      <c r="IAD369" s="88"/>
      <c r="IAE369" s="88"/>
      <c r="IAG369" s="377"/>
      <c r="IAH369" s="88"/>
      <c r="IAI369" s="88"/>
      <c r="IAK369" s="377"/>
      <c r="IAL369" s="88"/>
      <c r="IAM369" s="88"/>
      <c r="IAO369" s="377"/>
      <c r="IAP369" s="88"/>
      <c r="IAQ369" s="88"/>
      <c r="IAS369" s="377"/>
      <c r="IAT369" s="88"/>
      <c r="IAU369" s="88"/>
      <c r="IAW369" s="377"/>
      <c r="IAX369" s="88"/>
      <c r="IAY369" s="88"/>
      <c r="IBA369" s="377"/>
      <c r="IBB369" s="88"/>
      <c r="IBC369" s="88"/>
      <c r="IBE369" s="377"/>
      <c r="IBF369" s="88"/>
      <c r="IBG369" s="88"/>
      <c r="IBI369" s="377"/>
      <c r="IBJ369" s="88"/>
      <c r="IBK369" s="88"/>
      <c r="IBM369" s="377"/>
      <c r="IBN369" s="88"/>
      <c r="IBO369" s="88"/>
      <c r="IBQ369" s="377"/>
      <c r="IBR369" s="88"/>
      <c r="IBS369" s="88"/>
      <c r="IBU369" s="377"/>
      <c r="IBV369" s="88"/>
      <c r="IBW369" s="88"/>
      <c r="IBY369" s="377"/>
      <c r="IBZ369" s="88"/>
      <c r="ICA369" s="88"/>
      <c r="ICC369" s="377"/>
      <c r="ICD369" s="88"/>
      <c r="ICE369" s="88"/>
      <c r="ICG369" s="377"/>
      <c r="ICH369" s="88"/>
      <c r="ICI369" s="88"/>
      <c r="ICK369" s="377"/>
      <c r="ICL369" s="88"/>
      <c r="ICM369" s="88"/>
      <c r="ICO369" s="377"/>
      <c r="ICP369" s="88"/>
      <c r="ICQ369" s="88"/>
      <c r="ICS369" s="377"/>
      <c r="ICT369" s="88"/>
      <c r="ICU369" s="88"/>
      <c r="ICW369" s="377"/>
      <c r="ICX369" s="88"/>
      <c r="ICY369" s="88"/>
      <c r="IDA369" s="377"/>
      <c r="IDB369" s="88"/>
      <c r="IDC369" s="88"/>
      <c r="IDE369" s="377"/>
      <c r="IDF369" s="88"/>
      <c r="IDG369" s="88"/>
      <c r="IDI369" s="377"/>
      <c r="IDJ369" s="88"/>
      <c r="IDK369" s="88"/>
      <c r="IDM369" s="377"/>
      <c r="IDN369" s="88"/>
      <c r="IDO369" s="88"/>
      <c r="IDQ369" s="377"/>
      <c r="IDR369" s="88"/>
      <c r="IDS369" s="88"/>
      <c r="IDU369" s="377"/>
      <c r="IDV369" s="88"/>
      <c r="IDW369" s="88"/>
      <c r="IDY369" s="377"/>
      <c r="IDZ369" s="88"/>
      <c r="IEA369" s="88"/>
      <c r="IEC369" s="377"/>
      <c r="IED369" s="88"/>
      <c r="IEE369" s="88"/>
      <c r="IEG369" s="377"/>
      <c r="IEH369" s="88"/>
      <c r="IEI369" s="88"/>
      <c r="IEK369" s="377"/>
      <c r="IEL369" s="88"/>
      <c r="IEM369" s="88"/>
      <c r="IEO369" s="377"/>
      <c r="IEP369" s="88"/>
      <c r="IEQ369" s="88"/>
      <c r="IES369" s="377"/>
      <c r="IET369" s="88"/>
      <c r="IEU369" s="88"/>
      <c r="IEW369" s="377"/>
      <c r="IEX369" s="88"/>
      <c r="IEY369" s="88"/>
      <c r="IFA369" s="377"/>
      <c r="IFB369" s="88"/>
      <c r="IFC369" s="88"/>
      <c r="IFE369" s="377"/>
      <c r="IFF369" s="88"/>
      <c r="IFG369" s="88"/>
      <c r="IFI369" s="377"/>
      <c r="IFJ369" s="88"/>
      <c r="IFK369" s="88"/>
      <c r="IFM369" s="377"/>
      <c r="IFN369" s="88"/>
      <c r="IFO369" s="88"/>
      <c r="IFQ369" s="377"/>
      <c r="IFR369" s="88"/>
      <c r="IFS369" s="88"/>
      <c r="IFU369" s="377"/>
      <c r="IFV369" s="88"/>
      <c r="IFW369" s="88"/>
      <c r="IFY369" s="377"/>
      <c r="IFZ369" s="88"/>
      <c r="IGA369" s="88"/>
      <c r="IGC369" s="377"/>
      <c r="IGD369" s="88"/>
      <c r="IGE369" s="88"/>
      <c r="IGG369" s="377"/>
      <c r="IGH369" s="88"/>
      <c r="IGI369" s="88"/>
      <c r="IGK369" s="377"/>
      <c r="IGL369" s="88"/>
      <c r="IGM369" s="88"/>
      <c r="IGO369" s="377"/>
      <c r="IGP369" s="88"/>
      <c r="IGQ369" s="88"/>
      <c r="IGS369" s="377"/>
      <c r="IGT369" s="88"/>
      <c r="IGU369" s="88"/>
      <c r="IGW369" s="377"/>
      <c r="IGX369" s="88"/>
      <c r="IGY369" s="88"/>
      <c r="IHA369" s="377"/>
      <c r="IHB369" s="88"/>
      <c r="IHC369" s="88"/>
      <c r="IHE369" s="377"/>
      <c r="IHF369" s="88"/>
      <c r="IHG369" s="88"/>
      <c r="IHI369" s="377"/>
      <c r="IHJ369" s="88"/>
      <c r="IHK369" s="88"/>
      <c r="IHM369" s="377"/>
      <c r="IHN369" s="88"/>
      <c r="IHO369" s="88"/>
      <c r="IHQ369" s="377"/>
      <c r="IHR369" s="88"/>
      <c r="IHS369" s="88"/>
      <c r="IHU369" s="377"/>
      <c r="IHV369" s="88"/>
      <c r="IHW369" s="88"/>
      <c r="IHY369" s="377"/>
      <c r="IHZ369" s="88"/>
      <c r="IIA369" s="88"/>
      <c r="IIC369" s="377"/>
      <c r="IID369" s="88"/>
      <c r="IIE369" s="88"/>
      <c r="IIG369" s="377"/>
      <c r="IIH369" s="88"/>
      <c r="III369" s="88"/>
      <c r="IIK369" s="377"/>
      <c r="IIL369" s="88"/>
      <c r="IIM369" s="88"/>
      <c r="IIO369" s="377"/>
      <c r="IIP369" s="88"/>
      <c r="IIQ369" s="88"/>
      <c r="IIS369" s="377"/>
      <c r="IIT369" s="88"/>
      <c r="IIU369" s="88"/>
      <c r="IIW369" s="377"/>
      <c r="IIX369" s="88"/>
      <c r="IIY369" s="88"/>
      <c r="IJA369" s="377"/>
      <c r="IJB369" s="88"/>
      <c r="IJC369" s="88"/>
      <c r="IJE369" s="377"/>
      <c r="IJF369" s="88"/>
      <c r="IJG369" s="88"/>
      <c r="IJI369" s="377"/>
      <c r="IJJ369" s="88"/>
      <c r="IJK369" s="88"/>
      <c r="IJM369" s="377"/>
      <c r="IJN369" s="88"/>
      <c r="IJO369" s="88"/>
      <c r="IJQ369" s="377"/>
      <c r="IJR369" s="88"/>
      <c r="IJS369" s="88"/>
      <c r="IJU369" s="377"/>
      <c r="IJV369" s="88"/>
      <c r="IJW369" s="88"/>
      <c r="IJY369" s="377"/>
      <c r="IJZ369" s="88"/>
      <c r="IKA369" s="88"/>
      <c r="IKC369" s="377"/>
      <c r="IKD369" s="88"/>
      <c r="IKE369" s="88"/>
      <c r="IKG369" s="377"/>
      <c r="IKH369" s="88"/>
      <c r="IKI369" s="88"/>
      <c r="IKK369" s="377"/>
      <c r="IKL369" s="88"/>
      <c r="IKM369" s="88"/>
      <c r="IKO369" s="377"/>
      <c r="IKP369" s="88"/>
      <c r="IKQ369" s="88"/>
      <c r="IKS369" s="377"/>
      <c r="IKT369" s="88"/>
      <c r="IKU369" s="88"/>
      <c r="IKW369" s="377"/>
      <c r="IKX369" s="88"/>
      <c r="IKY369" s="88"/>
      <c r="ILA369" s="377"/>
      <c r="ILB369" s="88"/>
      <c r="ILC369" s="88"/>
      <c r="ILE369" s="377"/>
      <c r="ILF369" s="88"/>
      <c r="ILG369" s="88"/>
      <c r="ILI369" s="377"/>
      <c r="ILJ369" s="88"/>
      <c r="ILK369" s="88"/>
      <c r="ILM369" s="377"/>
      <c r="ILN369" s="88"/>
      <c r="ILO369" s="88"/>
      <c r="ILQ369" s="377"/>
      <c r="ILR369" s="88"/>
      <c r="ILS369" s="88"/>
      <c r="ILU369" s="377"/>
      <c r="ILV369" s="88"/>
      <c r="ILW369" s="88"/>
      <c r="ILY369" s="377"/>
      <c r="ILZ369" s="88"/>
      <c r="IMA369" s="88"/>
      <c r="IMC369" s="377"/>
      <c r="IMD369" s="88"/>
      <c r="IME369" s="88"/>
      <c r="IMG369" s="377"/>
      <c r="IMH369" s="88"/>
      <c r="IMI369" s="88"/>
      <c r="IMK369" s="377"/>
      <c r="IML369" s="88"/>
      <c r="IMM369" s="88"/>
      <c r="IMO369" s="377"/>
      <c r="IMP369" s="88"/>
      <c r="IMQ369" s="88"/>
      <c r="IMS369" s="377"/>
      <c r="IMT369" s="88"/>
      <c r="IMU369" s="88"/>
      <c r="IMW369" s="377"/>
      <c r="IMX369" s="88"/>
      <c r="IMY369" s="88"/>
      <c r="INA369" s="377"/>
      <c r="INB369" s="88"/>
      <c r="INC369" s="88"/>
      <c r="INE369" s="377"/>
      <c r="INF369" s="88"/>
      <c r="ING369" s="88"/>
      <c r="INI369" s="377"/>
      <c r="INJ369" s="88"/>
      <c r="INK369" s="88"/>
      <c r="INM369" s="377"/>
      <c r="INN369" s="88"/>
      <c r="INO369" s="88"/>
      <c r="INQ369" s="377"/>
      <c r="INR369" s="88"/>
      <c r="INS369" s="88"/>
      <c r="INU369" s="377"/>
      <c r="INV369" s="88"/>
      <c r="INW369" s="88"/>
      <c r="INY369" s="377"/>
      <c r="INZ369" s="88"/>
      <c r="IOA369" s="88"/>
      <c r="IOC369" s="377"/>
      <c r="IOD369" s="88"/>
      <c r="IOE369" s="88"/>
      <c r="IOG369" s="377"/>
      <c r="IOH369" s="88"/>
      <c r="IOI369" s="88"/>
      <c r="IOK369" s="377"/>
      <c r="IOL369" s="88"/>
      <c r="IOM369" s="88"/>
      <c r="IOO369" s="377"/>
      <c r="IOP369" s="88"/>
      <c r="IOQ369" s="88"/>
      <c r="IOS369" s="377"/>
      <c r="IOT369" s="88"/>
      <c r="IOU369" s="88"/>
      <c r="IOW369" s="377"/>
      <c r="IOX369" s="88"/>
      <c r="IOY369" s="88"/>
      <c r="IPA369" s="377"/>
      <c r="IPB369" s="88"/>
      <c r="IPC369" s="88"/>
      <c r="IPE369" s="377"/>
      <c r="IPF369" s="88"/>
      <c r="IPG369" s="88"/>
      <c r="IPI369" s="377"/>
      <c r="IPJ369" s="88"/>
      <c r="IPK369" s="88"/>
      <c r="IPM369" s="377"/>
      <c r="IPN369" s="88"/>
      <c r="IPO369" s="88"/>
      <c r="IPQ369" s="377"/>
      <c r="IPR369" s="88"/>
      <c r="IPS369" s="88"/>
      <c r="IPU369" s="377"/>
      <c r="IPV369" s="88"/>
      <c r="IPW369" s="88"/>
      <c r="IPY369" s="377"/>
      <c r="IPZ369" s="88"/>
      <c r="IQA369" s="88"/>
      <c r="IQC369" s="377"/>
      <c r="IQD369" s="88"/>
      <c r="IQE369" s="88"/>
      <c r="IQG369" s="377"/>
      <c r="IQH369" s="88"/>
      <c r="IQI369" s="88"/>
      <c r="IQK369" s="377"/>
      <c r="IQL369" s="88"/>
      <c r="IQM369" s="88"/>
      <c r="IQO369" s="377"/>
      <c r="IQP369" s="88"/>
      <c r="IQQ369" s="88"/>
      <c r="IQS369" s="377"/>
      <c r="IQT369" s="88"/>
      <c r="IQU369" s="88"/>
      <c r="IQW369" s="377"/>
      <c r="IQX369" s="88"/>
      <c r="IQY369" s="88"/>
      <c r="IRA369" s="377"/>
      <c r="IRB369" s="88"/>
      <c r="IRC369" s="88"/>
      <c r="IRE369" s="377"/>
      <c r="IRF369" s="88"/>
      <c r="IRG369" s="88"/>
      <c r="IRI369" s="377"/>
      <c r="IRJ369" s="88"/>
      <c r="IRK369" s="88"/>
      <c r="IRM369" s="377"/>
      <c r="IRN369" s="88"/>
      <c r="IRO369" s="88"/>
      <c r="IRQ369" s="377"/>
      <c r="IRR369" s="88"/>
      <c r="IRS369" s="88"/>
      <c r="IRU369" s="377"/>
      <c r="IRV369" s="88"/>
      <c r="IRW369" s="88"/>
      <c r="IRY369" s="377"/>
      <c r="IRZ369" s="88"/>
      <c r="ISA369" s="88"/>
      <c r="ISC369" s="377"/>
      <c r="ISD369" s="88"/>
      <c r="ISE369" s="88"/>
      <c r="ISG369" s="377"/>
      <c r="ISH369" s="88"/>
      <c r="ISI369" s="88"/>
      <c r="ISK369" s="377"/>
      <c r="ISL369" s="88"/>
      <c r="ISM369" s="88"/>
      <c r="ISO369" s="377"/>
      <c r="ISP369" s="88"/>
      <c r="ISQ369" s="88"/>
      <c r="ISS369" s="377"/>
      <c r="IST369" s="88"/>
      <c r="ISU369" s="88"/>
      <c r="ISW369" s="377"/>
      <c r="ISX369" s="88"/>
      <c r="ISY369" s="88"/>
      <c r="ITA369" s="377"/>
      <c r="ITB369" s="88"/>
      <c r="ITC369" s="88"/>
      <c r="ITE369" s="377"/>
      <c r="ITF369" s="88"/>
      <c r="ITG369" s="88"/>
      <c r="ITI369" s="377"/>
      <c r="ITJ369" s="88"/>
      <c r="ITK369" s="88"/>
      <c r="ITM369" s="377"/>
      <c r="ITN369" s="88"/>
      <c r="ITO369" s="88"/>
      <c r="ITQ369" s="377"/>
      <c r="ITR369" s="88"/>
      <c r="ITS369" s="88"/>
      <c r="ITU369" s="377"/>
      <c r="ITV369" s="88"/>
      <c r="ITW369" s="88"/>
      <c r="ITY369" s="377"/>
      <c r="ITZ369" s="88"/>
      <c r="IUA369" s="88"/>
      <c r="IUC369" s="377"/>
      <c r="IUD369" s="88"/>
      <c r="IUE369" s="88"/>
      <c r="IUG369" s="377"/>
      <c r="IUH369" s="88"/>
      <c r="IUI369" s="88"/>
      <c r="IUK369" s="377"/>
      <c r="IUL369" s="88"/>
      <c r="IUM369" s="88"/>
      <c r="IUO369" s="377"/>
      <c r="IUP369" s="88"/>
      <c r="IUQ369" s="88"/>
      <c r="IUS369" s="377"/>
      <c r="IUT369" s="88"/>
      <c r="IUU369" s="88"/>
      <c r="IUW369" s="377"/>
      <c r="IUX369" s="88"/>
      <c r="IUY369" s="88"/>
      <c r="IVA369" s="377"/>
      <c r="IVB369" s="88"/>
      <c r="IVC369" s="88"/>
      <c r="IVE369" s="377"/>
      <c r="IVF369" s="88"/>
      <c r="IVG369" s="88"/>
      <c r="IVI369" s="377"/>
      <c r="IVJ369" s="88"/>
      <c r="IVK369" s="88"/>
      <c r="IVM369" s="377"/>
      <c r="IVN369" s="88"/>
      <c r="IVO369" s="88"/>
      <c r="IVQ369" s="377"/>
      <c r="IVR369" s="88"/>
      <c r="IVS369" s="88"/>
      <c r="IVU369" s="377"/>
      <c r="IVV369" s="88"/>
      <c r="IVW369" s="88"/>
      <c r="IVY369" s="377"/>
      <c r="IVZ369" s="88"/>
      <c r="IWA369" s="88"/>
      <c r="IWC369" s="377"/>
      <c r="IWD369" s="88"/>
      <c r="IWE369" s="88"/>
      <c r="IWG369" s="377"/>
      <c r="IWH369" s="88"/>
      <c r="IWI369" s="88"/>
      <c r="IWK369" s="377"/>
      <c r="IWL369" s="88"/>
      <c r="IWM369" s="88"/>
      <c r="IWO369" s="377"/>
      <c r="IWP369" s="88"/>
      <c r="IWQ369" s="88"/>
      <c r="IWS369" s="377"/>
      <c r="IWT369" s="88"/>
      <c r="IWU369" s="88"/>
      <c r="IWW369" s="377"/>
      <c r="IWX369" s="88"/>
      <c r="IWY369" s="88"/>
      <c r="IXA369" s="377"/>
      <c r="IXB369" s="88"/>
      <c r="IXC369" s="88"/>
      <c r="IXE369" s="377"/>
      <c r="IXF369" s="88"/>
      <c r="IXG369" s="88"/>
      <c r="IXI369" s="377"/>
      <c r="IXJ369" s="88"/>
      <c r="IXK369" s="88"/>
      <c r="IXM369" s="377"/>
      <c r="IXN369" s="88"/>
      <c r="IXO369" s="88"/>
      <c r="IXQ369" s="377"/>
      <c r="IXR369" s="88"/>
      <c r="IXS369" s="88"/>
      <c r="IXU369" s="377"/>
      <c r="IXV369" s="88"/>
      <c r="IXW369" s="88"/>
      <c r="IXY369" s="377"/>
      <c r="IXZ369" s="88"/>
      <c r="IYA369" s="88"/>
      <c r="IYC369" s="377"/>
      <c r="IYD369" s="88"/>
      <c r="IYE369" s="88"/>
      <c r="IYG369" s="377"/>
      <c r="IYH369" s="88"/>
      <c r="IYI369" s="88"/>
      <c r="IYK369" s="377"/>
      <c r="IYL369" s="88"/>
      <c r="IYM369" s="88"/>
      <c r="IYO369" s="377"/>
      <c r="IYP369" s="88"/>
      <c r="IYQ369" s="88"/>
      <c r="IYS369" s="377"/>
      <c r="IYT369" s="88"/>
      <c r="IYU369" s="88"/>
      <c r="IYW369" s="377"/>
      <c r="IYX369" s="88"/>
      <c r="IYY369" s="88"/>
      <c r="IZA369" s="377"/>
      <c r="IZB369" s="88"/>
      <c r="IZC369" s="88"/>
      <c r="IZE369" s="377"/>
      <c r="IZF369" s="88"/>
      <c r="IZG369" s="88"/>
      <c r="IZI369" s="377"/>
      <c r="IZJ369" s="88"/>
      <c r="IZK369" s="88"/>
      <c r="IZM369" s="377"/>
      <c r="IZN369" s="88"/>
      <c r="IZO369" s="88"/>
      <c r="IZQ369" s="377"/>
      <c r="IZR369" s="88"/>
      <c r="IZS369" s="88"/>
      <c r="IZU369" s="377"/>
      <c r="IZV369" s="88"/>
      <c r="IZW369" s="88"/>
      <c r="IZY369" s="377"/>
      <c r="IZZ369" s="88"/>
      <c r="JAA369" s="88"/>
      <c r="JAC369" s="377"/>
      <c r="JAD369" s="88"/>
      <c r="JAE369" s="88"/>
      <c r="JAG369" s="377"/>
      <c r="JAH369" s="88"/>
      <c r="JAI369" s="88"/>
      <c r="JAK369" s="377"/>
      <c r="JAL369" s="88"/>
      <c r="JAM369" s="88"/>
      <c r="JAO369" s="377"/>
      <c r="JAP369" s="88"/>
      <c r="JAQ369" s="88"/>
      <c r="JAS369" s="377"/>
      <c r="JAT369" s="88"/>
      <c r="JAU369" s="88"/>
      <c r="JAW369" s="377"/>
      <c r="JAX369" s="88"/>
      <c r="JAY369" s="88"/>
      <c r="JBA369" s="377"/>
      <c r="JBB369" s="88"/>
      <c r="JBC369" s="88"/>
      <c r="JBE369" s="377"/>
      <c r="JBF369" s="88"/>
      <c r="JBG369" s="88"/>
      <c r="JBI369" s="377"/>
      <c r="JBJ369" s="88"/>
      <c r="JBK369" s="88"/>
      <c r="JBM369" s="377"/>
      <c r="JBN369" s="88"/>
      <c r="JBO369" s="88"/>
      <c r="JBQ369" s="377"/>
      <c r="JBR369" s="88"/>
      <c r="JBS369" s="88"/>
      <c r="JBU369" s="377"/>
      <c r="JBV369" s="88"/>
      <c r="JBW369" s="88"/>
      <c r="JBY369" s="377"/>
      <c r="JBZ369" s="88"/>
      <c r="JCA369" s="88"/>
      <c r="JCC369" s="377"/>
      <c r="JCD369" s="88"/>
      <c r="JCE369" s="88"/>
      <c r="JCG369" s="377"/>
      <c r="JCH369" s="88"/>
      <c r="JCI369" s="88"/>
      <c r="JCK369" s="377"/>
      <c r="JCL369" s="88"/>
      <c r="JCM369" s="88"/>
      <c r="JCO369" s="377"/>
      <c r="JCP369" s="88"/>
      <c r="JCQ369" s="88"/>
      <c r="JCS369" s="377"/>
      <c r="JCT369" s="88"/>
      <c r="JCU369" s="88"/>
      <c r="JCW369" s="377"/>
      <c r="JCX369" s="88"/>
      <c r="JCY369" s="88"/>
      <c r="JDA369" s="377"/>
      <c r="JDB369" s="88"/>
      <c r="JDC369" s="88"/>
      <c r="JDE369" s="377"/>
      <c r="JDF369" s="88"/>
      <c r="JDG369" s="88"/>
      <c r="JDI369" s="377"/>
      <c r="JDJ369" s="88"/>
      <c r="JDK369" s="88"/>
      <c r="JDM369" s="377"/>
      <c r="JDN369" s="88"/>
      <c r="JDO369" s="88"/>
      <c r="JDQ369" s="377"/>
      <c r="JDR369" s="88"/>
      <c r="JDS369" s="88"/>
      <c r="JDU369" s="377"/>
      <c r="JDV369" s="88"/>
      <c r="JDW369" s="88"/>
      <c r="JDY369" s="377"/>
      <c r="JDZ369" s="88"/>
      <c r="JEA369" s="88"/>
      <c r="JEC369" s="377"/>
      <c r="JED369" s="88"/>
      <c r="JEE369" s="88"/>
      <c r="JEG369" s="377"/>
      <c r="JEH369" s="88"/>
      <c r="JEI369" s="88"/>
      <c r="JEK369" s="377"/>
      <c r="JEL369" s="88"/>
      <c r="JEM369" s="88"/>
      <c r="JEO369" s="377"/>
      <c r="JEP369" s="88"/>
      <c r="JEQ369" s="88"/>
      <c r="JES369" s="377"/>
      <c r="JET369" s="88"/>
      <c r="JEU369" s="88"/>
      <c r="JEW369" s="377"/>
      <c r="JEX369" s="88"/>
      <c r="JEY369" s="88"/>
      <c r="JFA369" s="377"/>
      <c r="JFB369" s="88"/>
      <c r="JFC369" s="88"/>
      <c r="JFE369" s="377"/>
      <c r="JFF369" s="88"/>
      <c r="JFG369" s="88"/>
      <c r="JFI369" s="377"/>
      <c r="JFJ369" s="88"/>
      <c r="JFK369" s="88"/>
      <c r="JFM369" s="377"/>
      <c r="JFN369" s="88"/>
      <c r="JFO369" s="88"/>
      <c r="JFQ369" s="377"/>
      <c r="JFR369" s="88"/>
      <c r="JFS369" s="88"/>
      <c r="JFU369" s="377"/>
      <c r="JFV369" s="88"/>
      <c r="JFW369" s="88"/>
      <c r="JFY369" s="377"/>
      <c r="JFZ369" s="88"/>
      <c r="JGA369" s="88"/>
      <c r="JGC369" s="377"/>
      <c r="JGD369" s="88"/>
      <c r="JGE369" s="88"/>
      <c r="JGG369" s="377"/>
      <c r="JGH369" s="88"/>
      <c r="JGI369" s="88"/>
      <c r="JGK369" s="377"/>
      <c r="JGL369" s="88"/>
      <c r="JGM369" s="88"/>
      <c r="JGO369" s="377"/>
      <c r="JGP369" s="88"/>
      <c r="JGQ369" s="88"/>
      <c r="JGS369" s="377"/>
      <c r="JGT369" s="88"/>
      <c r="JGU369" s="88"/>
      <c r="JGW369" s="377"/>
      <c r="JGX369" s="88"/>
      <c r="JGY369" s="88"/>
      <c r="JHA369" s="377"/>
      <c r="JHB369" s="88"/>
      <c r="JHC369" s="88"/>
      <c r="JHE369" s="377"/>
      <c r="JHF369" s="88"/>
      <c r="JHG369" s="88"/>
      <c r="JHI369" s="377"/>
      <c r="JHJ369" s="88"/>
      <c r="JHK369" s="88"/>
      <c r="JHM369" s="377"/>
      <c r="JHN369" s="88"/>
      <c r="JHO369" s="88"/>
      <c r="JHQ369" s="377"/>
      <c r="JHR369" s="88"/>
      <c r="JHS369" s="88"/>
      <c r="JHU369" s="377"/>
      <c r="JHV369" s="88"/>
      <c r="JHW369" s="88"/>
      <c r="JHY369" s="377"/>
      <c r="JHZ369" s="88"/>
      <c r="JIA369" s="88"/>
      <c r="JIC369" s="377"/>
      <c r="JID369" s="88"/>
      <c r="JIE369" s="88"/>
      <c r="JIG369" s="377"/>
      <c r="JIH369" s="88"/>
      <c r="JII369" s="88"/>
      <c r="JIK369" s="377"/>
      <c r="JIL369" s="88"/>
      <c r="JIM369" s="88"/>
      <c r="JIO369" s="377"/>
      <c r="JIP369" s="88"/>
      <c r="JIQ369" s="88"/>
      <c r="JIS369" s="377"/>
      <c r="JIT369" s="88"/>
      <c r="JIU369" s="88"/>
      <c r="JIW369" s="377"/>
      <c r="JIX369" s="88"/>
      <c r="JIY369" s="88"/>
      <c r="JJA369" s="377"/>
      <c r="JJB369" s="88"/>
      <c r="JJC369" s="88"/>
      <c r="JJE369" s="377"/>
      <c r="JJF369" s="88"/>
      <c r="JJG369" s="88"/>
      <c r="JJI369" s="377"/>
      <c r="JJJ369" s="88"/>
      <c r="JJK369" s="88"/>
      <c r="JJM369" s="377"/>
      <c r="JJN369" s="88"/>
      <c r="JJO369" s="88"/>
      <c r="JJQ369" s="377"/>
      <c r="JJR369" s="88"/>
      <c r="JJS369" s="88"/>
      <c r="JJU369" s="377"/>
      <c r="JJV369" s="88"/>
      <c r="JJW369" s="88"/>
      <c r="JJY369" s="377"/>
      <c r="JJZ369" s="88"/>
      <c r="JKA369" s="88"/>
      <c r="JKC369" s="377"/>
      <c r="JKD369" s="88"/>
      <c r="JKE369" s="88"/>
      <c r="JKG369" s="377"/>
      <c r="JKH369" s="88"/>
      <c r="JKI369" s="88"/>
      <c r="JKK369" s="377"/>
      <c r="JKL369" s="88"/>
      <c r="JKM369" s="88"/>
      <c r="JKO369" s="377"/>
      <c r="JKP369" s="88"/>
      <c r="JKQ369" s="88"/>
      <c r="JKS369" s="377"/>
      <c r="JKT369" s="88"/>
      <c r="JKU369" s="88"/>
      <c r="JKW369" s="377"/>
      <c r="JKX369" s="88"/>
      <c r="JKY369" s="88"/>
      <c r="JLA369" s="377"/>
      <c r="JLB369" s="88"/>
      <c r="JLC369" s="88"/>
      <c r="JLE369" s="377"/>
      <c r="JLF369" s="88"/>
      <c r="JLG369" s="88"/>
      <c r="JLI369" s="377"/>
      <c r="JLJ369" s="88"/>
      <c r="JLK369" s="88"/>
      <c r="JLM369" s="377"/>
      <c r="JLN369" s="88"/>
      <c r="JLO369" s="88"/>
      <c r="JLQ369" s="377"/>
      <c r="JLR369" s="88"/>
      <c r="JLS369" s="88"/>
      <c r="JLU369" s="377"/>
      <c r="JLV369" s="88"/>
      <c r="JLW369" s="88"/>
      <c r="JLY369" s="377"/>
      <c r="JLZ369" s="88"/>
      <c r="JMA369" s="88"/>
      <c r="JMC369" s="377"/>
      <c r="JMD369" s="88"/>
      <c r="JME369" s="88"/>
      <c r="JMG369" s="377"/>
      <c r="JMH369" s="88"/>
      <c r="JMI369" s="88"/>
      <c r="JMK369" s="377"/>
      <c r="JML369" s="88"/>
      <c r="JMM369" s="88"/>
      <c r="JMO369" s="377"/>
      <c r="JMP369" s="88"/>
      <c r="JMQ369" s="88"/>
      <c r="JMS369" s="377"/>
      <c r="JMT369" s="88"/>
      <c r="JMU369" s="88"/>
      <c r="JMW369" s="377"/>
      <c r="JMX369" s="88"/>
      <c r="JMY369" s="88"/>
      <c r="JNA369" s="377"/>
      <c r="JNB369" s="88"/>
      <c r="JNC369" s="88"/>
      <c r="JNE369" s="377"/>
      <c r="JNF369" s="88"/>
      <c r="JNG369" s="88"/>
      <c r="JNI369" s="377"/>
      <c r="JNJ369" s="88"/>
      <c r="JNK369" s="88"/>
      <c r="JNM369" s="377"/>
      <c r="JNN369" s="88"/>
      <c r="JNO369" s="88"/>
      <c r="JNQ369" s="377"/>
      <c r="JNR369" s="88"/>
      <c r="JNS369" s="88"/>
      <c r="JNU369" s="377"/>
      <c r="JNV369" s="88"/>
      <c r="JNW369" s="88"/>
      <c r="JNY369" s="377"/>
      <c r="JNZ369" s="88"/>
      <c r="JOA369" s="88"/>
      <c r="JOC369" s="377"/>
      <c r="JOD369" s="88"/>
      <c r="JOE369" s="88"/>
      <c r="JOG369" s="377"/>
      <c r="JOH369" s="88"/>
      <c r="JOI369" s="88"/>
      <c r="JOK369" s="377"/>
      <c r="JOL369" s="88"/>
      <c r="JOM369" s="88"/>
      <c r="JOO369" s="377"/>
      <c r="JOP369" s="88"/>
      <c r="JOQ369" s="88"/>
      <c r="JOS369" s="377"/>
      <c r="JOT369" s="88"/>
      <c r="JOU369" s="88"/>
      <c r="JOW369" s="377"/>
      <c r="JOX369" s="88"/>
      <c r="JOY369" s="88"/>
      <c r="JPA369" s="377"/>
      <c r="JPB369" s="88"/>
      <c r="JPC369" s="88"/>
      <c r="JPE369" s="377"/>
      <c r="JPF369" s="88"/>
      <c r="JPG369" s="88"/>
      <c r="JPI369" s="377"/>
      <c r="JPJ369" s="88"/>
      <c r="JPK369" s="88"/>
      <c r="JPM369" s="377"/>
      <c r="JPN369" s="88"/>
      <c r="JPO369" s="88"/>
      <c r="JPQ369" s="377"/>
      <c r="JPR369" s="88"/>
      <c r="JPS369" s="88"/>
      <c r="JPU369" s="377"/>
      <c r="JPV369" s="88"/>
      <c r="JPW369" s="88"/>
      <c r="JPY369" s="377"/>
      <c r="JPZ369" s="88"/>
      <c r="JQA369" s="88"/>
      <c r="JQC369" s="377"/>
      <c r="JQD369" s="88"/>
      <c r="JQE369" s="88"/>
      <c r="JQG369" s="377"/>
      <c r="JQH369" s="88"/>
      <c r="JQI369" s="88"/>
      <c r="JQK369" s="377"/>
      <c r="JQL369" s="88"/>
      <c r="JQM369" s="88"/>
      <c r="JQO369" s="377"/>
      <c r="JQP369" s="88"/>
      <c r="JQQ369" s="88"/>
      <c r="JQS369" s="377"/>
      <c r="JQT369" s="88"/>
      <c r="JQU369" s="88"/>
      <c r="JQW369" s="377"/>
      <c r="JQX369" s="88"/>
      <c r="JQY369" s="88"/>
      <c r="JRA369" s="377"/>
      <c r="JRB369" s="88"/>
      <c r="JRC369" s="88"/>
      <c r="JRE369" s="377"/>
      <c r="JRF369" s="88"/>
      <c r="JRG369" s="88"/>
      <c r="JRI369" s="377"/>
      <c r="JRJ369" s="88"/>
      <c r="JRK369" s="88"/>
      <c r="JRM369" s="377"/>
      <c r="JRN369" s="88"/>
      <c r="JRO369" s="88"/>
      <c r="JRQ369" s="377"/>
      <c r="JRR369" s="88"/>
      <c r="JRS369" s="88"/>
      <c r="JRU369" s="377"/>
      <c r="JRV369" s="88"/>
      <c r="JRW369" s="88"/>
      <c r="JRY369" s="377"/>
      <c r="JRZ369" s="88"/>
      <c r="JSA369" s="88"/>
      <c r="JSC369" s="377"/>
      <c r="JSD369" s="88"/>
      <c r="JSE369" s="88"/>
      <c r="JSG369" s="377"/>
      <c r="JSH369" s="88"/>
      <c r="JSI369" s="88"/>
      <c r="JSK369" s="377"/>
      <c r="JSL369" s="88"/>
      <c r="JSM369" s="88"/>
      <c r="JSO369" s="377"/>
      <c r="JSP369" s="88"/>
      <c r="JSQ369" s="88"/>
      <c r="JSS369" s="377"/>
      <c r="JST369" s="88"/>
      <c r="JSU369" s="88"/>
      <c r="JSW369" s="377"/>
      <c r="JSX369" s="88"/>
      <c r="JSY369" s="88"/>
      <c r="JTA369" s="377"/>
      <c r="JTB369" s="88"/>
      <c r="JTC369" s="88"/>
      <c r="JTE369" s="377"/>
      <c r="JTF369" s="88"/>
      <c r="JTG369" s="88"/>
      <c r="JTI369" s="377"/>
      <c r="JTJ369" s="88"/>
      <c r="JTK369" s="88"/>
      <c r="JTM369" s="377"/>
      <c r="JTN369" s="88"/>
      <c r="JTO369" s="88"/>
      <c r="JTQ369" s="377"/>
      <c r="JTR369" s="88"/>
      <c r="JTS369" s="88"/>
      <c r="JTU369" s="377"/>
      <c r="JTV369" s="88"/>
      <c r="JTW369" s="88"/>
      <c r="JTY369" s="377"/>
      <c r="JTZ369" s="88"/>
      <c r="JUA369" s="88"/>
      <c r="JUC369" s="377"/>
      <c r="JUD369" s="88"/>
      <c r="JUE369" s="88"/>
      <c r="JUG369" s="377"/>
      <c r="JUH369" s="88"/>
      <c r="JUI369" s="88"/>
      <c r="JUK369" s="377"/>
      <c r="JUL369" s="88"/>
      <c r="JUM369" s="88"/>
      <c r="JUO369" s="377"/>
      <c r="JUP369" s="88"/>
      <c r="JUQ369" s="88"/>
      <c r="JUS369" s="377"/>
      <c r="JUT369" s="88"/>
      <c r="JUU369" s="88"/>
      <c r="JUW369" s="377"/>
      <c r="JUX369" s="88"/>
      <c r="JUY369" s="88"/>
      <c r="JVA369" s="377"/>
      <c r="JVB369" s="88"/>
      <c r="JVC369" s="88"/>
      <c r="JVE369" s="377"/>
      <c r="JVF369" s="88"/>
      <c r="JVG369" s="88"/>
      <c r="JVI369" s="377"/>
      <c r="JVJ369" s="88"/>
      <c r="JVK369" s="88"/>
      <c r="JVM369" s="377"/>
      <c r="JVN369" s="88"/>
      <c r="JVO369" s="88"/>
      <c r="JVQ369" s="377"/>
      <c r="JVR369" s="88"/>
      <c r="JVS369" s="88"/>
      <c r="JVU369" s="377"/>
      <c r="JVV369" s="88"/>
      <c r="JVW369" s="88"/>
      <c r="JVY369" s="377"/>
      <c r="JVZ369" s="88"/>
      <c r="JWA369" s="88"/>
      <c r="JWC369" s="377"/>
      <c r="JWD369" s="88"/>
      <c r="JWE369" s="88"/>
      <c r="JWG369" s="377"/>
      <c r="JWH369" s="88"/>
      <c r="JWI369" s="88"/>
      <c r="JWK369" s="377"/>
      <c r="JWL369" s="88"/>
      <c r="JWM369" s="88"/>
      <c r="JWO369" s="377"/>
      <c r="JWP369" s="88"/>
      <c r="JWQ369" s="88"/>
      <c r="JWS369" s="377"/>
      <c r="JWT369" s="88"/>
      <c r="JWU369" s="88"/>
      <c r="JWW369" s="377"/>
      <c r="JWX369" s="88"/>
      <c r="JWY369" s="88"/>
      <c r="JXA369" s="377"/>
      <c r="JXB369" s="88"/>
      <c r="JXC369" s="88"/>
      <c r="JXE369" s="377"/>
      <c r="JXF369" s="88"/>
      <c r="JXG369" s="88"/>
      <c r="JXI369" s="377"/>
      <c r="JXJ369" s="88"/>
      <c r="JXK369" s="88"/>
      <c r="JXM369" s="377"/>
      <c r="JXN369" s="88"/>
      <c r="JXO369" s="88"/>
      <c r="JXQ369" s="377"/>
      <c r="JXR369" s="88"/>
      <c r="JXS369" s="88"/>
      <c r="JXU369" s="377"/>
      <c r="JXV369" s="88"/>
      <c r="JXW369" s="88"/>
      <c r="JXY369" s="377"/>
      <c r="JXZ369" s="88"/>
      <c r="JYA369" s="88"/>
      <c r="JYC369" s="377"/>
      <c r="JYD369" s="88"/>
      <c r="JYE369" s="88"/>
      <c r="JYG369" s="377"/>
      <c r="JYH369" s="88"/>
      <c r="JYI369" s="88"/>
      <c r="JYK369" s="377"/>
      <c r="JYL369" s="88"/>
      <c r="JYM369" s="88"/>
      <c r="JYO369" s="377"/>
      <c r="JYP369" s="88"/>
      <c r="JYQ369" s="88"/>
      <c r="JYS369" s="377"/>
      <c r="JYT369" s="88"/>
      <c r="JYU369" s="88"/>
      <c r="JYW369" s="377"/>
      <c r="JYX369" s="88"/>
      <c r="JYY369" s="88"/>
      <c r="JZA369" s="377"/>
      <c r="JZB369" s="88"/>
      <c r="JZC369" s="88"/>
      <c r="JZE369" s="377"/>
      <c r="JZF369" s="88"/>
      <c r="JZG369" s="88"/>
      <c r="JZI369" s="377"/>
      <c r="JZJ369" s="88"/>
      <c r="JZK369" s="88"/>
      <c r="JZM369" s="377"/>
      <c r="JZN369" s="88"/>
      <c r="JZO369" s="88"/>
      <c r="JZQ369" s="377"/>
      <c r="JZR369" s="88"/>
      <c r="JZS369" s="88"/>
      <c r="JZU369" s="377"/>
      <c r="JZV369" s="88"/>
      <c r="JZW369" s="88"/>
      <c r="JZY369" s="377"/>
      <c r="JZZ369" s="88"/>
      <c r="KAA369" s="88"/>
      <c r="KAC369" s="377"/>
      <c r="KAD369" s="88"/>
      <c r="KAE369" s="88"/>
      <c r="KAG369" s="377"/>
      <c r="KAH369" s="88"/>
      <c r="KAI369" s="88"/>
      <c r="KAK369" s="377"/>
      <c r="KAL369" s="88"/>
      <c r="KAM369" s="88"/>
      <c r="KAO369" s="377"/>
      <c r="KAP369" s="88"/>
      <c r="KAQ369" s="88"/>
      <c r="KAS369" s="377"/>
      <c r="KAT369" s="88"/>
      <c r="KAU369" s="88"/>
      <c r="KAW369" s="377"/>
      <c r="KAX369" s="88"/>
      <c r="KAY369" s="88"/>
      <c r="KBA369" s="377"/>
      <c r="KBB369" s="88"/>
      <c r="KBC369" s="88"/>
      <c r="KBE369" s="377"/>
      <c r="KBF369" s="88"/>
      <c r="KBG369" s="88"/>
      <c r="KBI369" s="377"/>
      <c r="KBJ369" s="88"/>
      <c r="KBK369" s="88"/>
      <c r="KBM369" s="377"/>
      <c r="KBN369" s="88"/>
      <c r="KBO369" s="88"/>
      <c r="KBQ369" s="377"/>
      <c r="KBR369" s="88"/>
      <c r="KBS369" s="88"/>
      <c r="KBU369" s="377"/>
      <c r="KBV369" s="88"/>
      <c r="KBW369" s="88"/>
      <c r="KBY369" s="377"/>
      <c r="KBZ369" s="88"/>
      <c r="KCA369" s="88"/>
      <c r="KCC369" s="377"/>
      <c r="KCD369" s="88"/>
      <c r="KCE369" s="88"/>
      <c r="KCG369" s="377"/>
      <c r="KCH369" s="88"/>
      <c r="KCI369" s="88"/>
      <c r="KCK369" s="377"/>
      <c r="KCL369" s="88"/>
      <c r="KCM369" s="88"/>
      <c r="KCO369" s="377"/>
      <c r="KCP369" s="88"/>
      <c r="KCQ369" s="88"/>
      <c r="KCS369" s="377"/>
      <c r="KCT369" s="88"/>
      <c r="KCU369" s="88"/>
      <c r="KCW369" s="377"/>
      <c r="KCX369" s="88"/>
      <c r="KCY369" s="88"/>
      <c r="KDA369" s="377"/>
      <c r="KDB369" s="88"/>
      <c r="KDC369" s="88"/>
      <c r="KDE369" s="377"/>
      <c r="KDF369" s="88"/>
      <c r="KDG369" s="88"/>
      <c r="KDI369" s="377"/>
      <c r="KDJ369" s="88"/>
      <c r="KDK369" s="88"/>
      <c r="KDM369" s="377"/>
      <c r="KDN369" s="88"/>
      <c r="KDO369" s="88"/>
      <c r="KDQ369" s="377"/>
      <c r="KDR369" s="88"/>
      <c r="KDS369" s="88"/>
      <c r="KDU369" s="377"/>
      <c r="KDV369" s="88"/>
      <c r="KDW369" s="88"/>
      <c r="KDY369" s="377"/>
      <c r="KDZ369" s="88"/>
      <c r="KEA369" s="88"/>
      <c r="KEC369" s="377"/>
      <c r="KED369" s="88"/>
      <c r="KEE369" s="88"/>
      <c r="KEG369" s="377"/>
      <c r="KEH369" s="88"/>
      <c r="KEI369" s="88"/>
      <c r="KEK369" s="377"/>
      <c r="KEL369" s="88"/>
      <c r="KEM369" s="88"/>
      <c r="KEO369" s="377"/>
      <c r="KEP369" s="88"/>
      <c r="KEQ369" s="88"/>
      <c r="KES369" s="377"/>
      <c r="KET369" s="88"/>
      <c r="KEU369" s="88"/>
      <c r="KEW369" s="377"/>
      <c r="KEX369" s="88"/>
      <c r="KEY369" s="88"/>
      <c r="KFA369" s="377"/>
      <c r="KFB369" s="88"/>
      <c r="KFC369" s="88"/>
      <c r="KFE369" s="377"/>
      <c r="KFF369" s="88"/>
      <c r="KFG369" s="88"/>
      <c r="KFI369" s="377"/>
      <c r="KFJ369" s="88"/>
      <c r="KFK369" s="88"/>
      <c r="KFM369" s="377"/>
      <c r="KFN369" s="88"/>
      <c r="KFO369" s="88"/>
      <c r="KFQ369" s="377"/>
      <c r="KFR369" s="88"/>
      <c r="KFS369" s="88"/>
      <c r="KFU369" s="377"/>
      <c r="KFV369" s="88"/>
      <c r="KFW369" s="88"/>
      <c r="KFY369" s="377"/>
      <c r="KFZ369" s="88"/>
      <c r="KGA369" s="88"/>
      <c r="KGC369" s="377"/>
      <c r="KGD369" s="88"/>
      <c r="KGE369" s="88"/>
      <c r="KGG369" s="377"/>
      <c r="KGH369" s="88"/>
      <c r="KGI369" s="88"/>
      <c r="KGK369" s="377"/>
      <c r="KGL369" s="88"/>
      <c r="KGM369" s="88"/>
      <c r="KGO369" s="377"/>
      <c r="KGP369" s="88"/>
      <c r="KGQ369" s="88"/>
      <c r="KGS369" s="377"/>
      <c r="KGT369" s="88"/>
      <c r="KGU369" s="88"/>
      <c r="KGW369" s="377"/>
      <c r="KGX369" s="88"/>
      <c r="KGY369" s="88"/>
      <c r="KHA369" s="377"/>
      <c r="KHB369" s="88"/>
      <c r="KHC369" s="88"/>
      <c r="KHE369" s="377"/>
      <c r="KHF369" s="88"/>
      <c r="KHG369" s="88"/>
      <c r="KHI369" s="377"/>
      <c r="KHJ369" s="88"/>
      <c r="KHK369" s="88"/>
      <c r="KHM369" s="377"/>
      <c r="KHN369" s="88"/>
      <c r="KHO369" s="88"/>
      <c r="KHQ369" s="377"/>
      <c r="KHR369" s="88"/>
      <c r="KHS369" s="88"/>
      <c r="KHU369" s="377"/>
      <c r="KHV369" s="88"/>
      <c r="KHW369" s="88"/>
      <c r="KHY369" s="377"/>
      <c r="KHZ369" s="88"/>
      <c r="KIA369" s="88"/>
      <c r="KIC369" s="377"/>
      <c r="KID369" s="88"/>
      <c r="KIE369" s="88"/>
      <c r="KIG369" s="377"/>
      <c r="KIH369" s="88"/>
      <c r="KII369" s="88"/>
      <c r="KIK369" s="377"/>
      <c r="KIL369" s="88"/>
      <c r="KIM369" s="88"/>
      <c r="KIO369" s="377"/>
      <c r="KIP369" s="88"/>
      <c r="KIQ369" s="88"/>
      <c r="KIS369" s="377"/>
      <c r="KIT369" s="88"/>
      <c r="KIU369" s="88"/>
      <c r="KIW369" s="377"/>
      <c r="KIX369" s="88"/>
      <c r="KIY369" s="88"/>
      <c r="KJA369" s="377"/>
      <c r="KJB369" s="88"/>
      <c r="KJC369" s="88"/>
      <c r="KJE369" s="377"/>
      <c r="KJF369" s="88"/>
      <c r="KJG369" s="88"/>
      <c r="KJI369" s="377"/>
      <c r="KJJ369" s="88"/>
      <c r="KJK369" s="88"/>
      <c r="KJM369" s="377"/>
      <c r="KJN369" s="88"/>
      <c r="KJO369" s="88"/>
      <c r="KJQ369" s="377"/>
      <c r="KJR369" s="88"/>
      <c r="KJS369" s="88"/>
      <c r="KJU369" s="377"/>
      <c r="KJV369" s="88"/>
      <c r="KJW369" s="88"/>
      <c r="KJY369" s="377"/>
      <c r="KJZ369" s="88"/>
      <c r="KKA369" s="88"/>
      <c r="KKC369" s="377"/>
      <c r="KKD369" s="88"/>
      <c r="KKE369" s="88"/>
      <c r="KKG369" s="377"/>
      <c r="KKH369" s="88"/>
      <c r="KKI369" s="88"/>
      <c r="KKK369" s="377"/>
      <c r="KKL369" s="88"/>
      <c r="KKM369" s="88"/>
      <c r="KKO369" s="377"/>
      <c r="KKP369" s="88"/>
      <c r="KKQ369" s="88"/>
      <c r="KKS369" s="377"/>
      <c r="KKT369" s="88"/>
      <c r="KKU369" s="88"/>
      <c r="KKW369" s="377"/>
      <c r="KKX369" s="88"/>
      <c r="KKY369" s="88"/>
      <c r="KLA369" s="377"/>
      <c r="KLB369" s="88"/>
      <c r="KLC369" s="88"/>
      <c r="KLE369" s="377"/>
      <c r="KLF369" s="88"/>
      <c r="KLG369" s="88"/>
      <c r="KLI369" s="377"/>
      <c r="KLJ369" s="88"/>
      <c r="KLK369" s="88"/>
      <c r="KLM369" s="377"/>
      <c r="KLN369" s="88"/>
      <c r="KLO369" s="88"/>
      <c r="KLQ369" s="377"/>
      <c r="KLR369" s="88"/>
      <c r="KLS369" s="88"/>
      <c r="KLU369" s="377"/>
      <c r="KLV369" s="88"/>
      <c r="KLW369" s="88"/>
      <c r="KLY369" s="377"/>
      <c r="KLZ369" s="88"/>
      <c r="KMA369" s="88"/>
      <c r="KMC369" s="377"/>
      <c r="KMD369" s="88"/>
      <c r="KME369" s="88"/>
      <c r="KMG369" s="377"/>
      <c r="KMH369" s="88"/>
      <c r="KMI369" s="88"/>
      <c r="KMK369" s="377"/>
      <c r="KML369" s="88"/>
      <c r="KMM369" s="88"/>
      <c r="KMO369" s="377"/>
      <c r="KMP369" s="88"/>
      <c r="KMQ369" s="88"/>
      <c r="KMS369" s="377"/>
      <c r="KMT369" s="88"/>
      <c r="KMU369" s="88"/>
      <c r="KMW369" s="377"/>
      <c r="KMX369" s="88"/>
      <c r="KMY369" s="88"/>
      <c r="KNA369" s="377"/>
      <c r="KNB369" s="88"/>
      <c r="KNC369" s="88"/>
      <c r="KNE369" s="377"/>
      <c r="KNF369" s="88"/>
      <c r="KNG369" s="88"/>
      <c r="KNI369" s="377"/>
      <c r="KNJ369" s="88"/>
      <c r="KNK369" s="88"/>
      <c r="KNM369" s="377"/>
      <c r="KNN369" s="88"/>
      <c r="KNO369" s="88"/>
      <c r="KNQ369" s="377"/>
      <c r="KNR369" s="88"/>
      <c r="KNS369" s="88"/>
      <c r="KNU369" s="377"/>
      <c r="KNV369" s="88"/>
      <c r="KNW369" s="88"/>
      <c r="KNY369" s="377"/>
      <c r="KNZ369" s="88"/>
      <c r="KOA369" s="88"/>
      <c r="KOC369" s="377"/>
      <c r="KOD369" s="88"/>
      <c r="KOE369" s="88"/>
      <c r="KOG369" s="377"/>
      <c r="KOH369" s="88"/>
      <c r="KOI369" s="88"/>
      <c r="KOK369" s="377"/>
      <c r="KOL369" s="88"/>
      <c r="KOM369" s="88"/>
      <c r="KOO369" s="377"/>
      <c r="KOP369" s="88"/>
      <c r="KOQ369" s="88"/>
      <c r="KOS369" s="377"/>
      <c r="KOT369" s="88"/>
      <c r="KOU369" s="88"/>
      <c r="KOW369" s="377"/>
      <c r="KOX369" s="88"/>
      <c r="KOY369" s="88"/>
      <c r="KPA369" s="377"/>
      <c r="KPB369" s="88"/>
      <c r="KPC369" s="88"/>
      <c r="KPE369" s="377"/>
      <c r="KPF369" s="88"/>
      <c r="KPG369" s="88"/>
      <c r="KPI369" s="377"/>
      <c r="KPJ369" s="88"/>
      <c r="KPK369" s="88"/>
      <c r="KPM369" s="377"/>
      <c r="KPN369" s="88"/>
      <c r="KPO369" s="88"/>
      <c r="KPQ369" s="377"/>
      <c r="KPR369" s="88"/>
      <c r="KPS369" s="88"/>
      <c r="KPU369" s="377"/>
      <c r="KPV369" s="88"/>
      <c r="KPW369" s="88"/>
      <c r="KPY369" s="377"/>
      <c r="KPZ369" s="88"/>
      <c r="KQA369" s="88"/>
      <c r="KQC369" s="377"/>
      <c r="KQD369" s="88"/>
      <c r="KQE369" s="88"/>
      <c r="KQG369" s="377"/>
      <c r="KQH369" s="88"/>
      <c r="KQI369" s="88"/>
      <c r="KQK369" s="377"/>
      <c r="KQL369" s="88"/>
      <c r="KQM369" s="88"/>
      <c r="KQO369" s="377"/>
      <c r="KQP369" s="88"/>
      <c r="KQQ369" s="88"/>
      <c r="KQS369" s="377"/>
      <c r="KQT369" s="88"/>
      <c r="KQU369" s="88"/>
      <c r="KQW369" s="377"/>
      <c r="KQX369" s="88"/>
      <c r="KQY369" s="88"/>
      <c r="KRA369" s="377"/>
      <c r="KRB369" s="88"/>
      <c r="KRC369" s="88"/>
      <c r="KRE369" s="377"/>
      <c r="KRF369" s="88"/>
      <c r="KRG369" s="88"/>
      <c r="KRI369" s="377"/>
      <c r="KRJ369" s="88"/>
      <c r="KRK369" s="88"/>
      <c r="KRM369" s="377"/>
      <c r="KRN369" s="88"/>
      <c r="KRO369" s="88"/>
      <c r="KRQ369" s="377"/>
      <c r="KRR369" s="88"/>
      <c r="KRS369" s="88"/>
      <c r="KRU369" s="377"/>
      <c r="KRV369" s="88"/>
      <c r="KRW369" s="88"/>
      <c r="KRY369" s="377"/>
      <c r="KRZ369" s="88"/>
      <c r="KSA369" s="88"/>
      <c r="KSC369" s="377"/>
      <c r="KSD369" s="88"/>
      <c r="KSE369" s="88"/>
      <c r="KSG369" s="377"/>
      <c r="KSH369" s="88"/>
      <c r="KSI369" s="88"/>
      <c r="KSK369" s="377"/>
      <c r="KSL369" s="88"/>
      <c r="KSM369" s="88"/>
      <c r="KSO369" s="377"/>
      <c r="KSP369" s="88"/>
      <c r="KSQ369" s="88"/>
      <c r="KSS369" s="377"/>
      <c r="KST369" s="88"/>
      <c r="KSU369" s="88"/>
      <c r="KSW369" s="377"/>
      <c r="KSX369" s="88"/>
      <c r="KSY369" s="88"/>
      <c r="KTA369" s="377"/>
      <c r="KTB369" s="88"/>
      <c r="KTC369" s="88"/>
      <c r="KTE369" s="377"/>
      <c r="KTF369" s="88"/>
      <c r="KTG369" s="88"/>
      <c r="KTI369" s="377"/>
      <c r="KTJ369" s="88"/>
      <c r="KTK369" s="88"/>
      <c r="KTM369" s="377"/>
      <c r="KTN369" s="88"/>
      <c r="KTO369" s="88"/>
      <c r="KTQ369" s="377"/>
      <c r="KTR369" s="88"/>
      <c r="KTS369" s="88"/>
      <c r="KTU369" s="377"/>
      <c r="KTV369" s="88"/>
      <c r="KTW369" s="88"/>
      <c r="KTY369" s="377"/>
      <c r="KTZ369" s="88"/>
      <c r="KUA369" s="88"/>
      <c r="KUC369" s="377"/>
      <c r="KUD369" s="88"/>
      <c r="KUE369" s="88"/>
      <c r="KUG369" s="377"/>
      <c r="KUH369" s="88"/>
      <c r="KUI369" s="88"/>
      <c r="KUK369" s="377"/>
      <c r="KUL369" s="88"/>
      <c r="KUM369" s="88"/>
      <c r="KUO369" s="377"/>
      <c r="KUP369" s="88"/>
      <c r="KUQ369" s="88"/>
      <c r="KUS369" s="377"/>
      <c r="KUT369" s="88"/>
      <c r="KUU369" s="88"/>
      <c r="KUW369" s="377"/>
      <c r="KUX369" s="88"/>
      <c r="KUY369" s="88"/>
      <c r="KVA369" s="377"/>
      <c r="KVB369" s="88"/>
      <c r="KVC369" s="88"/>
      <c r="KVE369" s="377"/>
      <c r="KVF369" s="88"/>
      <c r="KVG369" s="88"/>
      <c r="KVI369" s="377"/>
      <c r="KVJ369" s="88"/>
      <c r="KVK369" s="88"/>
      <c r="KVM369" s="377"/>
      <c r="KVN369" s="88"/>
      <c r="KVO369" s="88"/>
      <c r="KVQ369" s="377"/>
      <c r="KVR369" s="88"/>
      <c r="KVS369" s="88"/>
      <c r="KVU369" s="377"/>
      <c r="KVV369" s="88"/>
      <c r="KVW369" s="88"/>
      <c r="KVY369" s="377"/>
      <c r="KVZ369" s="88"/>
      <c r="KWA369" s="88"/>
      <c r="KWC369" s="377"/>
      <c r="KWD369" s="88"/>
      <c r="KWE369" s="88"/>
      <c r="KWG369" s="377"/>
      <c r="KWH369" s="88"/>
      <c r="KWI369" s="88"/>
      <c r="KWK369" s="377"/>
      <c r="KWL369" s="88"/>
      <c r="KWM369" s="88"/>
      <c r="KWO369" s="377"/>
      <c r="KWP369" s="88"/>
      <c r="KWQ369" s="88"/>
      <c r="KWS369" s="377"/>
      <c r="KWT369" s="88"/>
      <c r="KWU369" s="88"/>
      <c r="KWW369" s="377"/>
      <c r="KWX369" s="88"/>
      <c r="KWY369" s="88"/>
      <c r="KXA369" s="377"/>
      <c r="KXB369" s="88"/>
      <c r="KXC369" s="88"/>
      <c r="KXE369" s="377"/>
      <c r="KXF369" s="88"/>
      <c r="KXG369" s="88"/>
      <c r="KXI369" s="377"/>
      <c r="KXJ369" s="88"/>
      <c r="KXK369" s="88"/>
      <c r="KXM369" s="377"/>
      <c r="KXN369" s="88"/>
      <c r="KXO369" s="88"/>
      <c r="KXQ369" s="377"/>
      <c r="KXR369" s="88"/>
      <c r="KXS369" s="88"/>
      <c r="KXU369" s="377"/>
      <c r="KXV369" s="88"/>
      <c r="KXW369" s="88"/>
      <c r="KXY369" s="377"/>
      <c r="KXZ369" s="88"/>
      <c r="KYA369" s="88"/>
      <c r="KYC369" s="377"/>
      <c r="KYD369" s="88"/>
      <c r="KYE369" s="88"/>
      <c r="KYG369" s="377"/>
      <c r="KYH369" s="88"/>
      <c r="KYI369" s="88"/>
      <c r="KYK369" s="377"/>
      <c r="KYL369" s="88"/>
      <c r="KYM369" s="88"/>
      <c r="KYO369" s="377"/>
      <c r="KYP369" s="88"/>
      <c r="KYQ369" s="88"/>
      <c r="KYS369" s="377"/>
      <c r="KYT369" s="88"/>
      <c r="KYU369" s="88"/>
      <c r="KYW369" s="377"/>
      <c r="KYX369" s="88"/>
      <c r="KYY369" s="88"/>
      <c r="KZA369" s="377"/>
      <c r="KZB369" s="88"/>
      <c r="KZC369" s="88"/>
      <c r="KZE369" s="377"/>
      <c r="KZF369" s="88"/>
      <c r="KZG369" s="88"/>
      <c r="KZI369" s="377"/>
      <c r="KZJ369" s="88"/>
      <c r="KZK369" s="88"/>
      <c r="KZM369" s="377"/>
      <c r="KZN369" s="88"/>
      <c r="KZO369" s="88"/>
      <c r="KZQ369" s="377"/>
      <c r="KZR369" s="88"/>
      <c r="KZS369" s="88"/>
      <c r="KZU369" s="377"/>
      <c r="KZV369" s="88"/>
      <c r="KZW369" s="88"/>
      <c r="KZY369" s="377"/>
      <c r="KZZ369" s="88"/>
      <c r="LAA369" s="88"/>
      <c r="LAC369" s="377"/>
      <c r="LAD369" s="88"/>
      <c r="LAE369" s="88"/>
      <c r="LAG369" s="377"/>
      <c r="LAH369" s="88"/>
      <c r="LAI369" s="88"/>
      <c r="LAK369" s="377"/>
      <c r="LAL369" s="88"/>
      <c r="LAM369" s="88"/>
      <c r="LAO369" s="377"/>
      <c r="LAP369" s="88"/>
      <c r="LAQ369" s="88"/>
      <c r="LAS369" s="377"/>
      <c r="LAT369" s="88"/>
      <c r="LAU369" s="88"/>
      <c r="LAW369" s="377"/>
      <c r="LAX369" s="88"/>
      <c r="LAY369" s="88"/>
      <c r="LBA369" s="377"/>
      <c r="LBB369" s="88"/>
      <c r="LBC369" s="88"/>
      <c r="LBE369" s="377"/>
      <c r="LBF369" s="88"/>
      <c r="LBG369" s="88"/>
      <c r="LBI369" s="377"/>
      <c r="LBJ369" s="88"/>
      <c r="LBK369" s="88"/>
      <c r="LBM369" s="377"/>
      <c r="LBN369" s="88"/>
      <c r="LBO369" s="88"/>
      <c r="LBQ369" s="377"/>
      <c r="LBR369" s="88"/>
      <c r="LBS369" s="88"/>
      <c r="LBU369" s="377"/>
      <c r="LBV369" s="88"/>
      <c r="LBW369" s="88"/>
      <c r="LBY369" s="377"/>
      <c r="LBZ369" s="88"/>
      <c r="LCA369" s="88"/>
      <c r="LCC369" s="377"/>
      <c r="LCD369" s="88"/>
      <c r="LCE369" s="88"/>
      <c r="LCG369" s="377"/>
      <c r="LCH369" s="88"/>
      <c r="LCI369" s="88"/>
      <c r="LCK369" s="377"/>
      <c r="LCL369" s="88"/>
      <c r="LCM369" s="88"/>
      <c r="LCO369" s="377"/>
      <c r="LCP369" s="88"/>
      <c r="LCQ369" s="88"/>
      <c r="LCS369" s="377"/>
      <c r="LCT369" s="88"/>
      <c r="LCU369" s="88"/>
      <c r="LCW369" s="377"/>
      <c r="LCX369" s="88"/>
      <c r="LCY369" s="88"/>
      <c r="LDA369" s="377"/>
      <c r="LDB369" s="88"/>
      <c r="LDC369" s="88"/>
      <c r="LDE369" s="377"/>
      <c r="LDF369" s="88"/>
      <c r="LDG369" s="88"/>
      <c r="LDI369" s="377"/>
      <c r="LDJ369" s="88"/>
      <c r="LDK369" s="88"/>
      <c r="LDM369" s="377"/>
      <c r="LDN369" s="88"/>
      <c r="LDO369" s="88"/>
      <c r="LDQ369" s="377"/>
      <c r="LDR369" s="88"/>
      <c r="LDS369" s="88"/>
      <c r="LDU369" s="377"/>
      <c r="LDV369" s="88"/>
      <c r="LDW369" s="88"/>
      <c r="LDY369" s="377"/>
      <c r="LDZ369" s="88"/>
      <c r="LEA369" s="88"/>
      <c r="LEC369" s="377"/>
      <c r="LED369" s="88"/>
      <c r="LEE369" s="88"/>
      <c r="LEG369" s="377"/>
      <c r="LEH369" s="88"/>
      <c r="LEI369" s="88"/>
      <c r="LEK369" s="377"/>
      <c r="LEL369" s="88"/>
      <c r="LEM369" s="88"/>
      <c r="LEO369" s="377"/>
      <c r="LEP369" s="88"/>
      <c r="LEQ369" s="88"/>
      <c r="LES369" s="377"/>
      <c r="LET369" s="88"/>
      <c r="LEU369" s="88"/>
      <c r="LEW369" s="377"/>
      <c r="LEX369" s="88"/>
      <c r="LEY369" s="88"/>
      <c r="LFA369" s="377"/>
      <c r="LFB369" s="88"/>
      <c r="LFC369" s="88"/>
      <c r="LFE369" s="377"/>
      <c r="LFF369" s="88"/>
      <c r="LFG369" s="88"/>
      <c r="LFI369" s="377"/>
      <c r="LFJ369" s="88"/>
      <c r="LFK369" s="88"/>
      <c r="LFM369" s="377"/>
      <c r="LFN369" s="88"/>
      <c r="LFO369" s="88"/>
      <c r="LFQ369" s="377"/>
      <c r="LFR369" s="88"/>
      <c r="LFS369" s="88"/>
      <c r="LFU369" s="377"/>
      <c r="LFV369" s="88"/>
      <c r="LFW369" s="88"/>
      <c r="LFY369" s="377"/>
      <c r="LFZ369" s="88"/>
      <c r="LGA369" s="88"/>
      <c r="LGC369" s="377"/>
      <c r="LGD369" s="88"/>
      <c r="LGE369" s="88"/>
      <c r="LGG369" s="377"/>
      <c r="LGH369" s="88"/>
      <c r="LGI369" s="88"/>
      <c r="LGK369" s="377"/>
      <c r="LGL369" s="88"/>
      <c r="LGM369" s="88"/>
      <c r="LGO369" s="377"/>
      <c r="LGP369" s="88"/>
      <c r="LGQ369" s="88"/>
      <c r="LGS369" s="377"/>
      <c r="LGT369" s="88"/>
      <c r="LGU369" s="88"/>
      <c r="LGW369" s="377"/>
      <c r="LGX369" s="88"/>
      <c r="LGY369" s="88"/>
      <c r="LHA369" s="377"/>
      <c r="LHB369" s="88"/>
      <c r="LHC369" s="88"/>
      <c r="LHE369" s="377"/>
      <c r="LHF369" s="88"/>
      <c r="LHG369" s="88"/>
      <c r="LHI369" s="377"/>
      <c r="LHJ369" s="88"/>
      <c r="LHK369" s="88"/>
      <c r="LHM369" s="377"/>
      <c r="LHN369" s="88"/>
      <c r="LHO369" s="88"/>
      <c r="LHQ369" s="377"/>
      <c r="LHR369" s="88"/>
      <c r="LHS369" s="88"/>
      <c r="LHU369" s="377"/>
      <c r="LHV369" s="88"/>
      <c r="LHW369" s="88"/>
      <c r="LHY369" s="377"/>
      <c r="LHZ369" s="88"/>
      <c r="LIA369" s="88"/>
      <c r="LIC369" s="377"/>
      <c r="LID369" s="88"/>
      <c r="LIE369" s="88"/>
      <c r="LIG369" s="377"/>
      <c r="LIH369" s="88"/>
      <c r="LII369" s="88"/>
      <c r="LIK369" s="377"/>
      <c r="LIL369" s="88"/>
      <c r="LIM369" s="88"/>
      <c r="LIO369" s="377"/>
      <c r="LIP369" s="88"/>
      <c r="LIQ369" s="88"/>
      <c r="LIS369" s="377"/>
      <c r="LIT369" s="88"/>
      <c r="LIU369" s="88"/>
      <c r="LIW369" s="377"/>
      <c r="LIX369" s="88"/>
      <c r="LIY369" s="88"/>
      <c r="LJA369" s="377"/>
      <c r="LJB369" s="88"/>
      <c r="LJC369" s="88"/>
      <c r="LJE369" s="377"/>
      <c r="LJF369" s="88"/>
      <c r="LJG369" s="88"/>
      <c r="LJI369" s="377"/>
      <c r="LJJ369" s="88"/>
      <c r="LJK369" s="88"/>
      <c r="LJM369" s="377"/>
      <c r="LJN369" s="88"/>
      <c r="LJO369" s="88"/>
      <c r="LJQ369" s="377"/>
      <c r="LJR369" s="88"/>
      <c r="LJS369" s="88"/>
      <c r="LJU369" s="377"/>
      <c r="LJV369" s="88"/>
      <c r="LJW369" s="88"/>
      <c r="LJY369" s="377"/>
      <c r="LJZ369" s="88"/>
      <c r="LKA369" s="88"/>
      <c r="LKC369" s="377"/>
      <c r="LKD369" s="88"/>
      <c r="LKE369" s="88"/>
      <c r="LKG369" s="377"/>
      <c r="LKH369" s="88"/>
      <c r="LKI369" s="88"/>
      <c r="LKK369" s="377"/>
      <c r="LKL369" s="88"/>
      <c r="LKM369" s="88"/>
      <c r="LKO369" s="377"/>
      <c r="LKP369" s="88"/>
      <c r="LKQ369" s="88"/>
      <c r="LKS369" s="377"/>
      <c r="LKT369" s="88"/>
      <c r="LKU369" s="88"/>
      <c r="LKW369" s="377"/>
      <c r="LKX369" s="88"/>
      <c r="LKY369" s="88"/>
      <c r="LLA369" s="377"/>
      <c r="LLB369" s="88"/>
      <c r="LLC369" s="88"/>
      <c r="LLE369" s="377"/>
      <c r="LLF369" s="88"/>
      <c r="LLG369" s="88"/>
      <c r="LLI369" s="377"/>
      <c r="LLJ369" s="88"/>
      <c r="LLK369" s="88"/>
      <c r="LLM369" s="377"/>
      <c r="LLN369" s="88"/>
      <c r="LLO369" s="88"/>
      <c r="LLQ369" s="377"/>
      <c r="LLR369" s="88"/>
      <c r="LLS369" s="88"/>
      <c r="LLU369" s="377"/>
      <c r="LLV369" s="88"/>
      <c r="LLW369" s="88"/>
      <c r="LLY369" s="377"/>
      <c r="LLZ369" s="88"/>
      <c r="LMA369" s="88"/>
      <c r="LMC369" s="377"/>
      <c r="LMD369" s="88"/>
      <c r="LME369" s="88"/>
      <c r="LMG369" s="377"/>
      <c r="LMH369" s="88"/>
      <c r="LMI369" s="88"/>
      <c r="LMK369" s="377"/>
      <c r="LML369" s="88"/>
      <c r="LMM369" s="88"/>
      <c r="LMO369" s="377"/>
      <c r="LMP369" s="88"/>
      <c r="LMQ369" s="88"/>
      <c r="LMS369" s="377"/>
      <c r="LMT369" s="88"/>
      <c r="LMU369" s="88"/>
      <c r="LMW369" s="377"/>
      <c r="LMX369" s="88"/>
      <c r="LMY369" s="88"/>
      <c r="LNA369" s="377"/>
      <c r="LNB369" s="88"/>
      <c r="LNC369" s="88"/>
      <c r="LNE369" s="377"/>
      <c r="LNF369" s="88"/>
      <c r="LNG369" s="88"/>
      <c r="LNI369" s="377"/>
      <c r="LNJ369" s="88"/>
      <c r="LNK369" s="88"/>
      <c r="LNM369" s="377"/>
      <c r="LNN369" s="88"/>
      <c r="LNO369" s="88"/>
      <c r="LNQ369" s="377"/>
      <c r="LNR369" s="88"/>
      <c r="LNS369" s="88"/>
      <c r="LNU369" s="377"/>
      <c r="LNV369" s="88"/>
      <c r="LNW369" s="88"/>
      <c r="LNY369" s="377"/>
      <c r="LNZ369" s="88"/>
      <c r="LOA369" s="88"/>
      <c r="LOC369" s="377"/>
      <c r="LOD369" s="88"/>
      <c r="LOE369" s="88"/>
      <c r="LOG369" s="377"/>
      <c r="LOH369" s="88"/>
      <c r="LOI369" s="88"/>
      <c r="LOK369" s="377"/>
      <c r="LOL369" s="88"/>
      <c r="LOM369" s="88"/>
      <c r="LOO369" s="377"/>
      <c r="LOP369" s="88"/>
      <c r="LOQ369" s="88"/>
      <c r="LOS369" s="377"/>
      <c r="LOT369" s="88"/>
      <c r="LOU369" s="88"/>
      <c r="LOW369" s="377"/>
      <c r="LOX369" s="88"/>
      <c r="LOY369" s="88"/>
      <c r="LPA369" s="377"/>
      <c r="LPB369" s="88"/>
      <c r="LPC369" s="88"/>
      <c r="LPE369" s="377"/>
      <c r="LPF369" s="88"/>
      <c r="LPG369" s="88"/>
      <c r="LPI369" s="377"/>
      <c r="LPJ369" s="88"/>
      <c r="LPK369" s="88"/>
      <c r="LPM369" s="377"/>
      <c r="LPN369" s="88"/>
      <c r="LPO369" s="88"/>
      <c r="LPQ369" s="377"/>
      <c r="LPR369" s="88"/>
      <c r="LPS369" s="88"/>
      <c r="LPU369" s="377"/>
      <c r="LPV369" s="88"/>
      <c r="LPW369" s="88"/>
      <c r="LPY369" s="377"/>
      <c r="LPZ369" s="88"/>
      <c r="LQA369" s="88"/>
      <c r="LQC369" s="377"/>
      <c r="LQD369" s="88"/>
      <c r="LQE369" s="88"/>
      <c r="LQG369" s="377"/>
      <c r="LQH369" s="88"/>
      <c r="LQI369" s="88"/>
      <c r="LQK369" s="377"/>
      <c r="LQL369" s="88"/>
      <c r="LQM369" s="88"/>
      <c r="LQO369" s="377"/>
      <c r="LQP369" s="88"/>
      <c r="LQQ369" s="88"/>
      <c r="LQS369" s="377"/>
      <c r="LQT369" s="88"/>
      <c r="LQU369" s="88"/>
      <c r="LQW369" s="377"/>
      <c r="LQX369" s="88"/>
      <c r="LQY369" s="88"/>
      <c r="LRA369" s="377"/>
      <c r="LRB369" s="88"/>
      <c r="LRC369" s="88"/>
      <c r="LRE369" s="377"/>
      <c r="LRF369" s="88"/>
      <c r="LRG369" s="88"/>
      <c r="LRI369" s="377"/>
      <c r="LRJ369" s="88"/>
      <c r="LRK369" s="88"/>
      <c r="LRM369" s="377"/>
      <c r="LRN369" s="88"/>
      <c r="LRO369" s="88"/>
      <c r="LRQ369" s="377"/>
      <c r="LRR369" s="88"/>
      <c r="LRS369" s="88"/>
      <c r="LRU369" s="377"/>
      <c r="LRV369" s="88"/>
      <c r="LRW369" s="88"/>
      <c r="LRY369" s="377"/>
      <c r="LRZ369" s="88"/>
      <c r="LSA369" s="88"/>
      <c r="LSC369" s="377"/>
      <c r="LSD369" s="88"/>
      <c r="LSE369" s="88"/>
      <c r="LSG369" s="377"/>
      <c r="LSH369" s="88"/>
      <c r="LSI369" s="88"/>
      <c r="LSK369" s="377"/>
      <c r="LSL369" s="88"/>
      <c r="LSM369" s="88"/>
      <c r="LSO369" s="377"/>
      <c r="LSP369" s="88"/>
      <c r="LSQ369" s="88"/>
      <c r="LSS369" s="377"/>
      <c r="LST369" s="88"/>
      <c r="LSU369" s="88"/>
      <c r="LSW369" s="377"/>
      <c r="LSX369" s="88"/>
      <c r="LSY369" s="88"/>
      <c r="LTA369" s="377"/>
      <c r="LTB369" s="88"/>
      <c r="LTC369" s="88"/>
      <c r="LTE369" s="377"/>
      <c r="LTF369" s="88"/>
      <c r="LTG369" s="88"/>
      <c r="LTI369" s="377"/>
      <c r="LTJ369" s="88"/>
      <c r="LTK369" s="88"/>
      <c r="LTM369" s="377"/>
      <c r="LTN369" s="88"/>
      <c r="LTO369" s="88"/>
      <c r="LTQ369" s="377"/>
      <c r="LTR369" s="88"/>
      <c r="LTS369" s="88"/>
      <c r="LTU369" s="377"/>
      <c r="LTV369" s="88"/>
      <c r="LTW369" s="88"/>
      <c r="LTY369" s="377"/>
      <c r="LTZ369" s="88"/>
      <c r="LUA369" s="88"/>
      <c r="LUC369" s="377"/>
      <c r="LUD369" s="88"/>
      <c r="LUE369" s="88"/>
      <c r="LUG369" s="377"/>
      <c r="LUH369" s="88"/>
      <c r="LUI369" s="88"/>
      <c r="LUK369" s="377"/>
      <c r="LUL369" s="88"/>
      <c r="LUM369" s="88"/>
      <c r="LUO369" s="377"/>
      <c r="LUP369" s="88"/>
      <c r="LUQ369" s="88"/>
      <c r="LUS369" s="377"/>
      <c r="LUT369" s="88"/>
      <c r="LUU369" s="88"/>
      <c r="LUW369" s="377"/>
      <c r="LUX369" s="88"/>
      <c r="LUY369" s="88"/>
      <c r="LVA369" s="377"/>
      <c r="LVB369" s="88"/>
      <c r="LVC369" s="88"/>
      <c r="LVE369" s="377"/>
      <c r="LVF369" s="88"/>
      <c r="LVG369" s="88"/>
      <c r="LVI369" s="377"/>
      <c r="LVJ369" s="88"/>
      <c r="LVK369" s="88"/>
      <c r="LVM369" s="377"/>
      <c r="LVN369" s="88"/>
      <c r="LVO369" s="88"/>
      <c r="LVQ369" s="377"/>
      <c r="LVR369" s="88"/>
      <c r="LVS369" s="88"/>
      <c r="LVU369" s="377"/>
      <c r="LVV369" s="88"/>
      <c r="LVW369" s="88"/>
      <c r="LVY369" s="377"/>
      <c r="LVZ369" s="88"/>
      <c r="LWA369" s="88"/>
      <c r="LWC369" s="377"/>
      <c r="LWD369" s="88"/>
      <c r="LWE369" s="88"/>
      <c r="LWG369" s="377"/>
      <c r="LWH369" s="88"/>
      <c r="LWI369" s="88"/>
      <c r="LWK369" s="377"/>
      <c r="LWL369" s="88"/>
      <c r="LWM369" s="88"/>
      <c r="LWO369" s="377"/>
      <c r="LWP369" s="88"/>
      <c r="LWQ369" s="88"/>
      <c r="LWS369" s="377"/>
      <c r="LWT369" s="88"/>
      <c r="LWU369" s="88"/>
      <c r="LWW369" s="377"/>
      <c r="LWX369" s="88"/>
      <c r="LWY369" s="88"/>
      <c r="LXA369" s="377"/>
      <c r="LXB369" s="88"/>
      <c r="LXC369" s="88"/>
      <c r="LXE369" s="377"/>
      <c r="LXF369" s="88"/>
      <c r="LXG369" s="88"/>
      <c r="LXI369" s="377"/>
      <c r="LXJ369" s="88"/>
      <c r="LXK369" s="88"/>
      <c r="LXM369" s="377"/>
      <c r="LXN369" s="88"/>
      <c r="LXO369" s="88"/>
      <c r="LXQ369" s="377"/>
      <c r="LXR369" s="88"/>
      <c r="LXS369" s="88"/>
      <c r="LXU369" s="377"/>
      <c r="LXV369" s="88"/>
      <c r="LXW369" s="88"/>
      <c r="LXY369" s="377"/>
      <c r="LXZ369" s="88"/>
      <c r="LYA369" s="88"/>
      <c r="LYC369" s="377"/>
      <c r="LYD369" s="88"/>
      <c r="LYE369" s="88"/>
      <c r="LYG369" s="377"/>
      <c r="LYH369" s="88"/>
      <c r="LYI369" s="88"/>
      <c r="LYK369" s="377"/>
      <c r="LYL369" s="88"/>
      <c r="LYM369" s="88"/>
      <c r="LYO369" s="377"/>
      <c r="LYP369" s="88"/>
      <c r="LYQ369" s="88"/>
      <c r="LYS369" s="377"/>
      <c r="LYT369" s="88"/>
      <c r="LYU369" s="88"/>
      <c r="LYW369" s="377"/>
      <c r="LYX369" s="88"/>
      <c r="LYY369" s="88"/>
      <c r="LZA369" s="377"/>
      <c r="LZB369" s="88"/>
      <c r="LZC369" s="88"/>
      <c r="LZE369" s="377"/>
      <c r="LZF369" s="88"/>
      <c r="LZG369" s="88"/>
      <c r="LZI369" s="377"/>
      <c r="LZJ369" s="88"/>
      <c r="LZK369" s="88"/>
      <c r="LZM369" s="377"/>
      <c r="LZN369" s="88"/>
      <c r="LZO369" s="88"/>
      <c r="LZQ369" s="377"/>
      <c r="LZR369" s="88"/>
      <c r="LZS369" s="88"/>
      <c r="LZU369" s="377"/>
      <c r="LZV369" s="88"/>
      <c r="LZW369" s="88"/>
      <c r="LZY369" s="377"/>
      <c r="LZZ369" s="88"/>
      <c r="MAA369" s="88"/>
      <c r="MAC369" s="377"/>
      <c r="MAD369" s="88"/>
      <c r="MAE369" s="88"/>
      <c r="MAG369" s="377"/>
      <c r="MAH369" s="88"/>
      <c r="MAI369" s="88"/>
      <c r="MAK369" s="377"/>
      <c r="MAL369" s="88"/>
      <c r="MAM369" s="88"/>
      <c r="MAO369" s="377"/>
      <c r="MAP369" s="88"/>
      <c r="MAQ369" s="88"/>
      <c r="MAS369" s="377"/>
      <c r="MAT369" s="88"/>
      <c r="MAU369" s="88"/>
      <c r="MAW369" s="377"/>
      <c r="MAX369" s="88"/>
      <c r="MAY369" s="88"/>
      <c r="MBA369" s="377"/>
      <c r="MBB369" s="88"/>
      <c r="MBC369" s="88"/>
      <c r="MBE369" s="377"/>
      <c r="MBF369" s="88"/>
      <c r="MBG369" s="88"/>
      <c r="MBI369" s="377"/>
      <c r="MBJ369" s="88"/>
      <c r="MBK369" s="88"/>
      <c r="MBM369" s="377"/>
      <c r="MBN369" s="88"/>
      <c r="MBO369" s="88"/>
      <c r="MBQ369" s="377"/>
      <c r="MBR369" s="88"/>
      <c r="MBS369" s="88"/>
      <c r="MBU369" s="377"/>
      <c r="MBV369" s="88"/>
      <c r="MBW369" s="88"/>
      <c r="MBY369" s="377"/>
      <c r="MBZ369" s="88"/>
      <c r="MCA369" s="88"/>
      <c r="MCC369" s="377"/>
      <c r="MCD369" s="88"/>
      <c r="MCE369" s="88"/>
      <c r="MCG369" s="377"/>
      <c r="MCH369" s="88"/>
      <c r="MCI369" s="88"/>
      <c r="MCK369" s="377"/>
      <c r="MCL369" s="88"/>
      <c r="MCM369" s="88"/>
      <c r="MCO369" s="377"/>
      <c r="MCP369" s="88"/>
      <c r="MCQ369" s="88"/>
      <c r="MCS369" s="377"/>
      <c r="MCT369" s="88"/>
      <c r="MCU369" s="88"/>
      <c r="MCW369" s="377"/>
      <c r="MCX369" s="88"/>
      <c r="MCY369" s="88"/>
      <c r="MDA369" s="377"/>
      <c r="MDB369" s="88"/>
      <c r="MDC369" s="88"/>
      <c r="MDE369" s="377"/>
      <c r="MDF369" s="88"/>
      <c r="MDG369" s="88"/>
      <c r="MDI369" s="377"/>
      <c r="MDJ369" s="88"/>
      <c r="MDK369" s="88"/>
      <c r="MDM369" s="377"/>
      <c r="MDN369" s="88"/>
      <c r="MDO369" s="88"/>
      <c r="MDQ369" s="377"/>
      <c r="MDR369" s="88"/>
      <c r="MDS369" s="88"/>
      <c r="MDU369" s="377"/>
      <c r="MDV369" s="88"/>
      <c r="MDW369" s="88"/>
      <c r="MDY369" s="377"/>
      <c r="MDZ369" s="88"/>
      <c r="MEA369" s="88"/>
      <c r="MEC369" s="377"/>
      <c r="MED369" s="88"/>
      <c r="MEE369" s="88"/>
      <c r="MEG369" s="377"/>
      <c r="MEH369" s="88"/>
      <c r="MEI369" s="88"/>
      <c r="MEK369" s="377"/>
      <c r="MEL369" s="88"/>
      <c r="MEM369" s="88"/>
      <c r="MEO369" s="377"/>
      <c r="MEP369" s="88"/>
      <c r="MEQ369" s="88"/>
      <c r="MES369" s="377"/>
      <c r="MET369" s="88"/>
      <c r="MEU369" s="88"/>
      <c r="MEW369" s="377"/>
      <c r="MEX369" s="88"/>
      <c r="MEY369" s="88"/>
      <c r="MFA369" s="377"/>
      <c r="MFB369" s="88"/>
      <c r="MFC369" s="88"/>
      <c r="MFE369" s="377"/>
      <c r="MFF369" s="88"/>
      <c r="MFG369" s="88"/>
      <c r="MFI369" s="377"/>
      <c r="MFJ369" s="88"/>
      <c r="MFK369" s="88"/>
      <c r="MFM369" s="377"/>
      <c r="MFN369" s="88"/>
      <c r="MFO369" s="88"/>
      <c r="MFQ369" s="377"/>
      <c r="MFR369" s="88"/>
      <c r="MFS369" s="88"/>
      <c r="MFU369" s="377"/>
      <c r="MFV369" s="88"/>
      <c r="MFW369" s="88"/>
      <c r="MFY369" s="377"/>
      <c r="MFZ369" s="88"/>
      <c r="MGA369" s="88"/>
      <c r="MGC369" s="377"/>
      <c r="MGD369" s="88"/>
      <c r="MGE369" s="88"/>
      <c r="MGG369" s="377"/>
      <c r="MGH369" s="88"/>
      <c r="MGI369" s="88"/>
      <c r="MGK369" s="377"/>
      <c r="MGL369" s="88"/>
      <c r="MGM369" s="88"/>
      <c r="MGO369" s="377"/>
      <c r="MGP369" s="88"/>
      <c r="MGQ369" s="88"/>
      <c r="MGS369" s="377"/>
      <c r="MGT369" s="88"/>
      <c r="MGU369" s="88"/>
      <c r="MGW369" s="377"/>
      <c r="MGX369" s="88"/>
      <c r="MGY369" s="88"/>
      <c r="MHA369" s="377"/>
      <c r="MHB369" s="88"/>
      <c r="MHC369" s="88"/>
      <c r="MHE369" s="377"/>
      <c r="MHF369" s="88"/>
      <c r="MHG369" s="88"/>
      <c r="MHI369" s="377"/>
      <c r="MHJ369" s="88"/>
      <c r="MHK369" s="88"/>
      <c r="MHM369" s="377"/>
      <c r="MHN369" s="88"/>
      <c r="MHO369" s="88"/>
      <c r="MHQ369" s="377"/>
      <c r="MHR369" s="88"/>
      <c r="MHS369" s="88"/>
      <c r="MHU369" s="377"/>
      <c r="MHV369" s="88"/>
      <c r="MHW369" s="88"/>
      <c r="MHY369" s="377"/>
      <c r="MHZ369" s="88"/>
      <c r="MIA369" s="88"/>
      <c r="MIC369" s="377"/>
      <c r="MID369" s="88"/>
      <c r="MIE369" s="88"/>
      <c r="MIG369" s="377"/>
      <c r="MIH369" s="88"/>
      <c r="MII369" s="88"/>
      <c r="MIK369" s="377"/>
      <c r="MIL369" s="88"/>
      <c r="MIM369" s="88"/>
      <c r="MIO369" s="377"/>
      <c r="MIP369" s="88"/>
      <c r="MIQ369" s="88"/>
      <c r="MIS369" s="377"/>
      <c r="MIT369" s="88"/>
      <c r="MIU369" s="88"/>
      <c r="MIW369" s="377"/>
      <c r="MIX369" s="88"/>
      <c r="MIY369" s="88"/>
      <c r="MJA369" s="377"/>
      <c r="MJB369" s="88"/>
      <c r="MJC369" s="88"/>
      <c r="MJE369" s="377"/>
      <c r="MJF369" s="88"/>
      <c r="MJG369" s="88"/>
      <c r="MJI369" s="377"/>
      <c r="MJJ369" s="88"/>
      <c r="MJK369" s="88"/>
      <c r="MJM369" s="377"/>
      <c r="MJN369" s="88"/>
      <c r="MJO369" s="88"/>
      <c r="MJQ369" s="377"/>
      <c r="MJR369" s="88"/>
      <c r="MJS369" s="88"/>
      <c r="MJU369" s="377"/>
      <c r="MJV369" s="88"/>
      <c r="MJW369" s="88"/>
      <c r="MJY369" s="377"/>
      <c r="MJZ369" s="88"/>
      <c r="MKA369" s="88"/>
      <c r="MKC369" s="377"/>
      <c r="MKD369" s="88"/>
      <c r="MKE369" s="88"/>
      <c r="MKG369" s="377"/>
      <c r="MKH369" s="88"/>
      <c r="MKI369" s="88"/>
      <c r="MKK369" s="377"/>
      <c r="MKL369" s="88"/>
      <c r="MKM369" s="88"/>
      <c r="MKO369" s="377"/>
      <c r="MKP369" s="88"/>
      <c r="MKQ369" s="88"/>
      <c r="MKS369" s="377"/>
      <c r="MKT369" s="88"/>
      <c r="MKU369" s="88"/>
      <c r="MKW369" s="377"/>
      <c r="MKX369" s="88"/>
      <c r="MKY369" s="88"/>
      <c r="MLA369" s="377"/>
      <c r="MLB369" s="88"/>
      <c r="MLC369" s="88"/>
      <c r="MLE369" s="377"/>
      <c r="MLF369" s="88"/>
      <c r="MLG369" s="88"/>
      <c r="MLI369" s="377"/>
      <c r="MLJ369" s="88"/>
      <c r="MLK369" s="88"/>
      <c r="MLM369" s="377"/>
      <c r="MLN369" s="88"/>
      <c r="MLO369" s="88"/>
      <c r="MLQ369" s="377"/>
      <c r="MLR369" s="88"/>
      <c r="MLS369" s="88"/>
      <c r="MLU369" s="377"/>
      <c r="MLV369" s="88"/>
      <c r="MLW369" s="88"/>
      <c r="MLY369" s="377"/>
      <c r="MLZ369" s="88"/>
      <c r="MMA369" s="88"/>
      <c r="MMC369" s="377"/>
      <c r="MMD369" s="88"/>
      <c r="MME369" s="88"/>
      <c r="MMG369" s="377"/>
      <c r="MMH369" s="88"/>
      <c r="MMI369" s="88"/>
      <c r="MMK369" s="377"/>
      <c r="MML369" s="88"/>
      <c r="MMM369" s="88"/>
      <c r="MMO369" s="377"/>
      <c r="MMP369" s="88"/>
      <c r="MMQ369" s="88"/>
      <c r="MMS369" s="377"/>
      <c r="MMT369" s="88"/>
      <c r="MMU369" s="88"/>
      <c r="MMW369" s="377"/>
      <c r="MMX369" s="88"/>
      <c r="MMY369" s="88"/>
      <c r="MNA369" s="377"/>
      <c r="MNB369" s="88"/>
      <c r="MNC369" s="88"/>
      <c r="MNE369" s="377"/>
      <c r="MNF369" s="88"/>
      <c r="MNG369" s="88"/>
      <c r="MNI369" s="377"/>
      <c r="MNJ369" s="88"/>
      <c r="MNK369" s="88"/>
      <c r="MNM369" s="377"/>
      <c r="MNN369" s="88"/>
      <c r="MNO369" s="88"/>
      <c r="MNQ369" s="377"/>
      <c r="MNR369" s="88"/>
      <c r="MNS369" s="88"/>
      <c r="MNU369" s="377"/>
      <c r="MNV369" s="88"/>
      <c r="MNW369" s="88"/>
      <c r="MNY369" s="377"/>
      <c r="MNZ369" s="88"/>
      <c r="MOA369" s="88"/>
      <c r="MOC369" s="377"/>
      <c r="MOD369" s="88"/>
      <c r="MOE369" s="88"/>
      <c r="MOG369" s="377"/>
      <c r="MOH369" s="88"/>
      <c r="MOI369" s="88"/>
      <c r="MOK369" s="377"/>
      <c r="MOL369" s="88"/>
      <c r="MOM369" s="88"/>
      <c r="MOO369" s="377"/>
      <c r="MOP369" s="88"/>
      <c r="MOQ369" s="88"/>
      <c r="MOS369" s="377"/>
      <c r="MOT369" s="88"/>
      <c r="MOU369" s="88"/>
      <c r="MOW369" s="377"/>
      <c r="MOX369" s="88"/>
      <c r="MOY369" s="88"/>
      <c r="MPA369" s="377"/>
      <c r="MPB369" s="88"/>
      <c r="MPC369" s="88"/>
      <c r="MPE369" s="377"/>
      <c r="MPF369" s="88"/>
      <c r="MPG369" s="88"/>
      <c r="MPI369" s="377"/>
      <c r="MPJ369" s="88"/>
      <c r="MPK369" s="88"/>
      <c r="MPM369" s="377"/>
      <c r="MPN369" s="88"/>
      <c r="MPO369" s="88"/>
      <c r="MPQ369" s="377"/>
      <c r="MPR369" s="88"/>
      <c r="MPS369" s="88"/>
      <c r="MPU369" s="377"/>
      <c r="MPV369" s="88"/>
      <c r="MPW369" s="88"/>
      <c r="MPY369" s="377"/>
      <c r="MPZ369" s="88"/>
      <c r="MQA369" s="88"/>
      <c r="MQC369" s="377"/>
      <c r="MQD369" s="88"/>
      <c r="MQE369" s="88"/>
      <c r="MQG369" s="377"/>
      <c r="MQH369" s="88"/>
      <c r="MQI369" s="88"/>
      <c r="MQK369" s="377"/>
      <c r="MQL369" s="88"/>
      <c r="MQM369" s="88"/>
      <c r="MQO369" s="377"/>
      <c r="MQP369" s="88"/>
      <c r="MQQ369" s="88"/>
      <c r="MQS369" s="377"/>
      <c r="MQT369" s="88"/>
      <c r="MQU369" s="88"/>
      <c r="MQW369" s="377"/>
      <c r="MQX369" s="88"/>
      <c r="MQY369" s="88"/>
      <c r="MRA369" s="377"/>
      <c r="MRB369" s="88"/>
      <c r="MRC369" s="88"/>
      <c r="MRE369" s="377"/>
      <c r="MRF369" s="88"/>
      <c r="MRG369" s="88"/>
      <c r="MRI369" s="377"/>
      <c r="MRJ369" s="88"/>
      <c r="MRK369" s="88"/>
      <c r="MRM369" s="377"/>
      <c r="MRN369" s="88"/>
      <c r="MRO369" s="88"/>
      <c r="MRQ369" s="377"/>
      <c r="MRR369" s="88"/>
      <c r="MRS369" s="88"/>
      <c r="MRU369" s="377"/>
      <c r="MRV369" s="88"/>
      <c r="MRW369" s="88"/>
      <c r="MRY369" s="377"/>
      <c r="MRZ369" s="88"/>
      <c r="MSA369" s="88"/>
      <c r="MSC369" s="377"/>
      <c r="MSD369" s="88"/>
      <c r="MSE369" s="88"/>
      <c r="MSG369" s="377"/>
      <c r="MSH369" s="88"/>
      <c r="MSI369" s="88"/>
      <c r="MSK369" s="377"/>
      <c r="MSL369" s="88"/>
      <c r="MSM369" s="88"/>
      <c r="MSO369" s="377"/>
      <c r="MSP369" s="88"/>
      <c r="MSQ369" s="88"/>
      <c r="MSS369" s="377"/>
      <c r="MST369" s="88"/>
      <c r="MSU369" s="88"/>
      <c r="MSW369" s="377"/>
      <c r="MSX369" s="88"/>
      <c r="MSY369" s="88"/>
      <c r="MTA369" s="377"/>
      <c r="MTB369" s="88"/>
      <c r="MTC369" s="88"/>
      <c r="MTE369" s="377"/>
      <c r="MTF369" s="88"/>
      <c r="MTG369" s="88"/>
      <c r="MTI369" s="377"/>
      <c r="MTJ369" s="88"/>
      <c r="MTK369" s="88"/>
      <c r="MTM369" s="377"/>
      <c r="MTN369" s="88"/>
      <c r="MTO369" s="88"/>
      <c r="MTQ369" s="377"/>
      <c r="MTR369" s="88"/>
      <c r="MTS369" s="88"/>
      <c r="MTU369" s="377"/>
      <c r="MTV369" s="88"/>
      <c r="MTW369" s="88"/>
      <c r="MTY369" s="377"/>
      <c r="MTZ369" s="88"/>
      <c r="MUA369" s="88"/>
      <c r="MUC369" s="377"/>
      <c r="MUD369" s="88"/>
      <c r="MUE369" s="88"/>
      <c r="MUG369" s="377"/>
      <c r="MUH369" s="88"/>
      <c r="MUI369" s="88"/>
      <c r="MUK369" s="377"/>
      <c r="MUL369" s="88"/>
      <c r="MUM369" s="88"/>
      <c r="MUO369" s="377"/>
      <c r="MUP369" s="88"/>
      <c r="MUQ369" s="88"/>
      <c r="MUS369" s="377"/>
      <c r="MUT369" s="88"/>
      <c r="MUU369" s="88"/>
      <c r="MUW369" s="377"/>
      <c r="MUX369" s="88"/>
      <c r="MUY369" s="88"/>
      <c r="MVA369" s="377"/>
      <c r="MVB369" s="88"/>
      <c r="MVC369" s="88"/>
      <c r="MVE369" s="377"/>
      <c r="MVF369" s="88"/>
      <c r="MVG369" s="88"/>
      <c r="MVI369" s="377"/>
      <c r="MVJ369" s="88"/>
      <c r="MVK369" s="88"/>
      <c r="MVM369" s="377"/>
      <c r="MVN369" s="88"/>
      <c r="MVO369" s="88"/>
      <c r="MVQ369" s="377"/>
      <c r="MVR369" s="88"/>
      <c r="MVS369" s="88"/>
      <c r="MVU369" s="377"/>
      <c r="MVV369" s="88"/>
      <c r="MVW369" s="88"/>
      <c r="MVY369" s="377"/>
      <c r="MVZ369" s="88"/>
      <c r="MWA369" s="88"/>
      <c r="MWC369" s="377"/>
      <c r="MWD369" s="88"/>
      <c r="MWE369" s="88"/>
      <c r="MWG369" s="377"/>
      <c r="MWH369" s="88"/>
      <c r="MWI369" s="88"/>
      <c r="MWK369" s="377"/>
      <c r="MWL369" s="88"/>
      <c r="MWM369" s="88"/>
      <c r="MWO369" s="377"/>
      <c r="MWP369" s="88"/>
      <c r="MWQ369" s="88"/>
      <c r="MWS369" s="377"/>
      <c r="MWT369" s="88"/>
      <c r="MWU369" s="88"/>
      <c r="MWW369" s="377"/>
      <c r="MWX369" s="88"/>
      <c r="MWY369" s="88"/>
      <c r="MXA369" s="377"/>
      <c r="MXB369" s="88"/>
      <c r="MXC369" s="88"/>
      <c r="MXE369" s="377"/>
      <c r="MXF369" s="88"/>
      <c r="MXG369" s="88"/>
      <c r="MXI369" s="377"/>
      <c r="MXJ369" s="88"/>
      <c r="MXK369" s="88"/>
      <c r="MXM369" s="377"/>
      <c r="MXN369" s="88"/>
      <c r="MXO369" s="88"/>
      <c r="MXQ369" s="377"/>
      <c r="MXR369" s="88"/>
      <c r="MXS369" s="88"/>
      <c r="MXU369" s="377"/>
      <c r="MXV369" s="88"/>
      <c r="MXW369" s="88"/>
      <c r="MXY369" s="377"/>
      <c r="MXZ369" s="88"/>
      <c r="MYA369" s="88"/>
      <c r="MYC369" s="377"/>
      <c r="MYD369" s="88"/>
      <c r="MYE369" s="88"/>
      <c r="MYG369" s="377"/>
      <c r="MYH369" s="88"/>
      <c r="MYI369" s="88"/>
      <c r="MYK369" s="377"/>
      <c r="MYL369" s="88"/>
      <c r="MYM369" s="88"/>
      <c r="MYO369" s="377"/>
      <c r="MYP369" s="88"/>
      <c r="MYQ369" s="88"/>
      <c r="MYS369" s="377"/>
      <c r="MYT369" s="88"/>
      <c r="MYU369" s="88"/>
      <c r="MYW369" s="377"/>
      <c r="MYX369" s="88"/>
      <c r="MYY369" s="88"/>
      <c r="MZA369" s="377"/>
      <c r="MZB369" s="88"/>
      <c r="MZC369" s="88"/>
      <c r="MZE369" s="377"/>
      <c r="MZF369" s="88"/>
      <c r="MZG369" s="88"/>
      <c r="MZI369" s="377"/>
      <c r="MZJ369" s="88"/>
      <c r="MZK369" s="88"/>
      <c r="MZM369" s="377"/>
      <c r="MZN369" s="88"/>
      <c r="MZO369" s="88"/>
      <c r="MZQ369" s="377"/>
      <c r="MZR369" s="88"/>
      <c r="MZS369" s="88"/>
      <c r="MZU369" s="377"/>
      <c r="MZV369" s="88"/>
      <c r="MZW369" s="88"/>
      <c r="MZY369" s="377"/>
      <c r="MZZ369" s="88"/>
      <c r="NAA369" s="88"/>
      <c r="NAC369" s="377"/>
      <c r="NAD369" s="88"/>
      <c r="NAE369" s="88"/>
      <c r="NAG369" s="377"/>
      <c r="NAH369" s="88"/>
      <c r="NAI369" s="88"/>
      <c r="NAK369" s="377"/>
      <c r="NAL369" s="88"/>
      <c r="NAM369" s="88"/>
      <c r="NAO369" s="377"/>
      <c r="NAP369" s="88"/>
      <c r="NAQ369" s="88"/>
      <c r="NAS369" s="377"/>
      <c r="NAT369" s="88"/>
      <c r="NAU369" s="88"/>
      <c r="NAW369" s="377"/>
      <c r="NAX369" s="88"/>
      <c r="NAY369" s="88"/>
      <c r="NBA369" s="377"/>
      <c r="NBB369" s="88"/>
      <c r="NBC369" s="88"/>
      <c r="NBE369" s="377"/>
      <c r="NBF369" s="88"/>
      <c r="NBG369" s="88"/>
      <c r="NBI369" s="377"/>
      <c r="NBJ369" s="88"/>
      <c r="NBK369" s="88"/>
      <c r="NBM369" s="377"/>
      <c r="NBN369" s="88"/>
      <c r="NBO369" s="88"/>
      <c r="NBQ369" s="377"/>
      <c r="NBR369" s="88"/>
      <c r="NBS369" s="88"/>
      <c r="NBU369" s="377"/>
      <c r="NBV369" s="88"/>
      <c r="NBW369" s="88"/>
      <c r="NBY369" s="377"/>
      <c r="NBZ369" s="88"/>
      <c r="NCA369" s="88"/>
      <c r="NCC369" s="377"/>
      <c r="NCD369" s="88"/>
      <c r="NCE369" s="88"/>
      <c r="NCG369" s="377"/>
      <c r="NCH369" s="88"/>
      <c r="NCI369" s="88"/>
      <c r="NCK369" s="377"/>
      <c r="NCL369" s="88"/>
      <c r="NCM369" s="88"/>
      <c r="NCO369" s="377"/>
      <c r="NCP369" s="88"/>
      <c r="NCQ369" s="88"/>
      <c r="NCS369" s="377"/>
      <c r="NCT369" s="88"/>
      <c r="NCU369" s="88"/>
      <c r="NCW369" s="377"/>
      <c r="NCX369" s="88"/>
      <c r="NCY369" s="88"/>
      <c r="NDA369" s="377"/>
      <c r="NDB369" s="88"/>
      <c r="NDC369" s="88"/>
      <c r="NDE369" s="377"/>
      <c r="NDF369" s="88"/>
      <c r="NDG369" s="88"/>
      <c r="NDI369" s="377"/>
      <c r="NDJ369" s="88"/>
      <c r="NDK369" s="88"/>
      <c r="NDM369" s="377"/>
      <c r="NDN369" s="88"/>
      <c r="NDO369" s="88"/>
      <c r="NDQ369" s="377"/>
      <c r="NDR369" s="88"/>
      <c r="NDS369" s="88"/>
      <c r="NDU369" s="377"/>
      <c r="NDV369" s="88"/>
      <c r="NDW369" s="88"/>
      <c r="NDY369" s="377"/>
      <c r="NDZ369" s="88"/>
      <c r="NEA369" s="88"/>
      <c r="NEC369" s="377"/>
      <c r="NED369" s="88"/>
      <c r="NEE369" s="88"/>
      <c r="NEG369" s="377"/>
      <c r="NEH369" s="88"/>
      <c r="NEI369" s="88"/>
      <c r="NEK369" s="377"/>
      <c r="NEL369" s="88"/>
      <c r="NEM369" s="88"/>
      <c r="NEO369" s="377"/>
      <c r="NEP369" s="88"/>
      <c r="NEQ369" s="88"/>
      <c r="NES369" s="377"/>
      <c r="NET369" s="88"/>
      <c r="NEU369" s="88"/>
      <c r="NEW369" s="377"/>
      <c r="NEX369" s="88"/>
      <c r="NEY369" s="88"/>
      <c r="NFA369" s="377"/>
      <c r="NFB369" s="88"/>
      <c r="NFC369" s="88"/>
      <c r="NFE369" s="377"/>
      <c r="NFF369" s="88"/>
      <c r="NFG369" s="88"/>
      <c r="NFI369" s="377"/>
      <c r="NFJ369" s="88"/>
      <c r="NFK369" s="88"/>
      <c r="NFM369" s="377"/>
      <c r="NFN369" s="88"/>
      <c r="NFO369" s="88"/>
      <c r="NFQ369" s="377"/>
      <c r="NFR369" s="88"/>
      <c r="NFS369" s="88"/>
      <c r="NFU369" s="377"/>
      <c r="NFV369" s="88"/>
      <c r="NFW369" s="88"/>
      <c r="NFY369" s="377"/>
      <c r="NFZ369" s="88"/>
      <c r="NGA369" s="88"/>
      <c r="NGC369" s="377"/>
      <c r="NGD369" s="88"/>
      <c r="NGE369" s="88"/>
      <c r="NGG369" s="377"/>
      <c r="NGH369" s="88"/>
      <c r="NGI369" s="88"/>
      <c r="NGK369" s="377"/>
      <c r="NGL369" s="88"/>
      <c r="NGM369" s="88"/>
      <c r="NGO369" s="377"/>
      <c r="NGP369" s="88"/>
      <c r="NGQ369" s="88"/>
      <c r="NGS369" s="377"/>
      <c r="NGT369" s="88"/>
      <c r="NGU369" s="88"/>
      <c r="NGW369" s="377"/>
      <c r="NGX369" s="88"/>
      <c r="NGY369" s="88"/>
      <c r="NHA369" s="377"/>
      <c r="NHB369" s="88"/>
      <c r="NHC369" s="88"/>
      <c r="NHE369" s="377"/>
      <c r="NHF369" s="88"/>
      <c r="NHG369" s="88"/>
      <c r="NHI369" s="377"/>
      <c r="NHJ369" s="88"/>
      <c r="NHK369" s="88"/>
      <c r="NHM369" s="377"/>
      <c r="NHN369" s="88"/>
      <c r="NHO369" s="88"/>
      <c r="NHQ369" s="377"/>
      <c r="NHR369" s="88"/>
      <c r="NHS369" s="88"/>
      <c r="NHU369" s="377"/>
      <c r="NHV369" s="88"/>
      <c r="NHW369" s="88"/>
      <c r="NHY369" s="377"/>
      <c r="NHZ369" s="88"/>
      <c r="NIA369" s="88"/>
      <c r="NIC369" s="377"/>
      <c r="NID369" s="88"/>
      <c r="NIE369" s="88"/>
      <c r="NIG369" s="377"/>
      <c r="NIH369" s="88"/>
      <c r="NII369" s="88"/>
      <c r="NIK369" s="377"/>
      <c r="NIL369" s="88"/>
      <c r="NIM369" s="88"/>
      <c r="NIO369" s="377"/>
      <c r="NIP369" s="88"/>
      <c r="NIQ369" s="88"/>
      <c r="NIS369" s="377"/>
      <c r="NIT369" s="88"/>
      <c r="NIU369" s="88"/>
      <c r="NIW369" s="377"/>
      <c r="NIX369" s="88"/>
      <c r="NIY369" s="88"/>
      <c r="NJA369" s="377"/>
      <c r="NJB369" s="88"/>
      <c r="NJC369" s="88"/>
      <c r="NJE369" s="377"/>
      <c r="NJF369" s="88"/>
      <c r="NJG369" s="88"/>
      <c r="NJI369" s="377"/>
      <c r="NJJ369" s="88"/>
      <c r="NJK369" s="88"/>
      <c r="NJM369" s="377"/>
      <c r="NJN369" s="88"/>
      <c r="NJO369" s="88"/>
      <c r="NJQ369" s="377"/>
      <c r="NJR369" s="88"/>
      <c r="NJS369" s="88"/>
      <c r="NJU369" s="377"/>
      <c r="NJV369" s="88"/>
      <c r="NJW369" s="88"/>
      <c r="NJY369" s="377"/>
      <c r="NJZ369" s="88"/>
      <c r="NKA369" s="88"/>
      <c r="NKC369" s="377"/>
      <c r="NKD369" s="88"/>
      <c r="NKE369" s="88"/>
      <c r="NKG369" s="377"/>
      <c r="NKH369" s="88"/>
      <c r="NKI369" s="88"/>
      <c r="NKK369" s="377"/>
      <c r="NKL369" s="88"/>
      <c r="NKM369" s="88"/>
      <c r="NKO369" s="377"/>
      <c r="NKP369" s="88"/>
      <c r="NKQ369" s="88"/>
      <c r="NKS369" s="377"/>
      <c r="NKT369" s="88"/>
      <c r="NKU369" s="88"/>
      <c r="NKW369" s="377"/>
      <c r="NKX369" s="88"/>
      <c r="NKY369" s="88"/>
      <c r="NLA369" s="377"/>
      <c r="NLB369" s="88"/>
      <c r="NLC369" s="88"/>
      <c r="NLE369" s="377"/>
      <c r="NLF369" s="88"/>
      <c r="NLG369" s="88"/>
      <c r="NLI369" s="377"/>
      <c r="NLJ369" s="88"/>
      <c r="NLK369" s="88"/>
      <c r="NLM369" s="377"/>
      <c r="NLN369" s="88"/>
      <c r="NLO369" s="88"/>
      <c r="NLQ369" s="377"/>
      <c r="NLR369" s="88"/>
      <c r="NLS369" s="88"/>
      <c r="NLU369" s="377"/>
      <c r="NLV369" s="88"/>
      <c r="NLW369" s="88"/>
      <c r="NLY369" s="377"/>
      <c r="NLZ369" s="88"/>
      <c r="NMA369" s="88"/>
      <c r="NMC369" s="377"/>
      <c r="NMD369" s="88"/>
      <c r="NME369" s="88"/>
      <c r="NMG369" s="377"/>
      <c r="NMH369" s="88"/>
      <c r="NMI369" s="88"/>
      <c r="NMK369" s="377"/>
      <c r="NML369" s="88"/>
      <c r="NMM369" s="88"/>
      <c r="NMO369" s="377"/>
      <c r="NMP369" s="88"/>
      <c r="NMQ369" s="88"/>
      <c r="NMS369" s="377"/>
      <c r="NMT369" s="88"/>
      <c r="NMU369" s="88"/>
      <c r="NMW369" s="377"/>
      <c r="NMX369" s="88"/>
      <c r="NMY369" s="88"/>
      <c r="NNA369" s="377"/>
      <c r="NNB369" s="88"/>
      <c r="NNC369" s="88"/>
      <c r="NNE369" s="377"/>
      <c r="NNF369" s="88"/>
      <c r="NNG369" s="88"/>
      <c r="NNI369" s="377"/>
      <c r="NNJ369" s="88"/>
      <c r="NNK369" s="88"/>
      <c r="NNM369" s="377"/>
      <c r="NNN369" s="88"/>
      <c r="NNO369" s="88"/>
      <c r="NNQ369" s="377"/>
      <c r="NNR369" s="88"/>
      <c r="NNS369" s="88"/>
      <c r="NNU369" s="377"/>
      <c r="NNV369" s="88"/>
      <c r="NNW369" s="88"/>
      <c r="NNY369" s="377"/>
      <c r="NNZ369" s="88"/>
      <c r="NOA369" s="88"/>
      <c r="NOC369" s="377"/>
      <c r="NOD369" s="88"/>
      <c r="NOE369" s="88"/>
      <c r="NOG369" s="377"/>
      <c r="NOH369" s="88"/>
      <c r="NOI369" s="88"/>
      <c r="NOK369" s="377"/>
      <c r="NOL369" s="88"/>
      <c r="NOM369" s="88"/>
      <c r="NOO369" s="377"/>
      <c r="NOP369" s="88"/>
      <c r="NOQ369" s="88"/>
      <c r="NOS369" s="377"/>
      <c r="NOT369" s="88"/>
      <c r="NOU369" s="88"/>
      <c r="NOW369" s="377"/>
      <c r="NOX369" s="88"/>
      <c r="NOY369" s="88"/>
      <c r="NPA369" s="377"/>
      <c r="NPB369" s="88"/>
      <c r="NPC369" s="88"/>
      <c r="NPE369" s="377"/>
      <c r="NPF369" s="88"/>
      <c r="NPG369" s="88"/>
      <c r="NPI369" s="377"/>
      <c r="NPJ369" s="88"/>
      <c r="NPK369" s="88"/>
      <c r="NPM369" s="377"/>
      <c r="NPN369" s="88"/>
      <c r="NPO369" s="88"/>
      <c r="NPQ369" s="377"/>
      <c r="NPR369" s="88"/>
      <c r="NPS369" s="88"/>
      <c r="NPU369" s="377"/>
      <c r="NPV369" s="88"/>
      <c r="NPW369" s="88"/>
      <c r="NPY369" s="377"/>
      <c r="NPZ369" s="88"/>
      <c r="NQA369" s="88"/>
      <c r="NQC369" s="377"/>
      <c r="NQD369" s="88"/>
      <c r="NQE369" s="88"/>
      <c r="NQG369" s="377"/>
      <c r="NQH369" s="88"/>
      <c r="NQI369" s="88"/>
      <c r="NQK369" s="377"/>
      <c r="NQL369" s="88"/>
      <c r="NQM369" s="88"/>
      <c r="NQO369" s="377"/>
      <c r="NQP369" s="88"/>
      <c r="NQQ369" s="88"/>
      <c r="NQS369" s="377"/>
      <c r="NQT369" s="88"/>
      <c r="NQU369" s="88"/>
      <c r="NQW369" s="377"/>
      <c r="NQX369" s="88"/>
      <c r="NQY369" s="88"/>
      <c r="NRA369" s="377"/>
      <c r="NRB369" s="88"/>
      <c r="NRC369" s="88"/>
      <c r="NRE369" s="377"/>
      <c r="NRF369" s="88"/>
      <c r="NRG369" s="88"/>
      <c r="NRI369" s="377"/>
      <c r="NRJ369" s="88"/>
      <c r="NRK369" s="88"/>
      <c r="NRM369" s="377"/>
      <c r="NRN369" s="88"/>
      <c r="NRO369" s="88"/>
      <c r="NRQ369" s="377"/>
      <c r="NRR369" s="88"/>
      <c r="NRS369" s="88"/>
      <c r="NRU369" s="377"/>
      <c r="NRV369" s="88"/>
      <c r="NRW369" s="88"/>
      <c r="NRY369" s="377"/>
      <c r="NRZ369" s="88"/>
      <c r="NSA369" s="88"/>
      <c r="NSC369" s="377"/>
      <c r="NSD369" s="88"/>
      <c r="NSE369" s="88"/>
      <c r="NSG369" s="377"/>
      <c r="NSH369" s="88"/>
      <c r="NSI369" s="88"/>
      <c r="NSK369" s="377"/>
      <c r="NSL369" s="88"/>
      <c r="NSM369" s="88"/>
      <c r="NSO369" s="377"/>
      <c r="NSP369" s="88"/>
      <c r="NSQ369" s="88"/>
      <c r="NSS369" s="377"/>
      <c r="NST369" s="88"/>
      <c r="NSU369" s="88"/>
      <c r="NSW369" s="377"/>
      <c r="NSX369" s="88"/>
      <c r="NSY369" s="88"/>
      <c r="NTA369" s="377"/>
      <c r="NTB369" s="88"/>
      <c r="NTC369" s="88"/>
      <c r="NTE369" s="377"/>
      <c r="NTF369" s="88"/>
      <c r="NTG369" s="88"/>
      <c r="NTI369" s="377"/>
      <c r="NTJ369" s="88"/>
      <c r="NTK369" s="88"/>
      <c r="NTM369" s="377"/>
      <c r="NTN369" s="88"/>
      <c r="NTO369" s="88"/>
      <c r="NTQ369" s="377"/>
      <c r="NTR369" s="88"/>
      <c r="NTS369" s="88"/>
      <c r="NTU369" s="377"/>
      <c r="NTV369" s="88"/>
      <c r="NTW369" s="88"/>
      <c r="NTY369" s="377"/>
      <c r="NTZ369" s="88"/>
      <c r="NUA369" s="88"/>
      <c r="NUC369" s="377"/>
      <c r="NUD369" s="88"/>
      <c r="NUE369" s="88"/>
      <c r="NUG369" s="377"/>
      <c r="NUH369" s="88"/>
      <c r="NUI369" s="88"/>
      <c r="NUK369" s="377"/>
      <c r="NUL369" s="88"/>
      <c r="NUM369" s="88"/>
      <c r="NUO369" s="377"/>
      <c r="NUP369" s="88"/>
      <c r="NUQ369" s="88"/>
      <c r="NUS369" s="377"/>
      <c r="NUT369" s="88"/>
      <c r="NUU369" s="88"/>
      <c r="NUW369" s="377"/>
      <c r="NUX369" s="88"/>
      <c r="NUY369" s="88"/>
      <c r="NVA369" s="377"/>
      <c r="NVB369" s="88"/>
      <c r="NVC369" s="88"/>
      <c r="NVE369" s="377"/>
      <c r="NVF369" s="88"/>
      <c r="NVG369" s="88"/>
      <c r="NVI369" s="377"/>
      <c r="NVJ369" s="88"/>
      <c r="NVK369" s="88"/>
      <c r="NVM369" s="377"/>
      <c r="NVN369" s="88"/>
      <c r="NVO369" s="88"/>
      <c r="NVQ369" s="377"/>
      <c r="NVR369" s="88"/>
      <c r="NVS369" s="88"/>
      <c r="NVU369" s="377"/>
      <c r="NVV369" s="88"/>
      <c r="NVW369" s="88"/>
      <c r="NVY369" s="377"/>
      <c r="NVZ369" s="88"/>
      <c r="NWA369" s="88"/>
      <c r="NWC369" s="377"/>
      <c r="NWD369" s="88"/>
      <c r="NWE369" s="88"/>
      <c r="NWG369" s="377"/>
      <c r="NWH369" s="88"/>
      <c r="NWI369" s="88"/>
      <c r="NWK369" s="377"/>
      <c r="NWL369" s="88"/>
      <c r="NWM369" s="88"/>
      <c r="NWO369" s="377"/>
      <c r="NWP369" s="88"/>
      <c r="NWQ369" s="88"/>
      <c r="NWS369" s="377"/>
      <c r="NWT369" s="88"/>
      <c r="NWU369" s="88"/>
      <c r="NWW369" s="377"/>
      <c r="NWX369" s="88"/>
      <c r="NWY369" s="88"/>
      <c r="NXA369" s="377"/>
      <c r="NXB369" s="88"/>
      <c r="NXC369" s="88"/>
      <c r="NXE369" s="377"/>
      <c r="NXF369" s="88"/>
      <c r="NXG369" s="88"/>
      <c r="NXI369" s="377"/>
      <c r="NXJ369" s="88"/>
      <c r="NXK369" s="88"/>
      <c r="NXM369" s="377"/>
      <c r="NXN369" s="88"/>
      <c r="NXO369" s="88"/>
      <c r="NXQ369" s="377"/>
      <c r="NXR369" s="88"/>
      <c r="NXS369" s="88"/>
      <c r="NXU369" s="377"/>
      <c r="NXV369" s="88"/>
      <c r="NXW369" s="88"/>
      <c r="NXY369" s="377"/>
      <c r="NXZ369" s="88"/>
      <c r="NYA369" s="88"/>
      <c r="NYC369" s="377"/>
      <c r="NYD369" s="88"/>
      <c r="NYE369" s="88"/>
      <c r="NYG369" s="377"/>
      <c r="NYH369" s="88"/>
      <c r="NYI369" s="88"/>
      <c r="NYK369" s="377"/>
      <c r="NYL369" s="88"/>
      <c r="NYM369" s="88"/>
      <c r="NYO369" s="377"/>
      <c r="NYP369" s="88"/>
      <c r="NYQ369" s="88"/>
      <c r="NYS369" s="377"/>
      <c r="NYT369" s="88"/>
      <c r="NYU369" s="88"/>
      <c r="NYW369" s="377"/>
      <c r="NYX369" s="88"/>
      <c r="NYY369" s="88"/>
      <c r="NZA369" s="377"/>
      <c r="NZB369" s="88"/>
      <c r="NZC369" s="88"/>
      <c r="NZE369" s="377"/>
      <c r="NZF369" s="88"/>
      <c r="NZG369" s="88"/>
      <c r="NZI369" s="377"/>
      <c r="NZJ369" s="88"/>
      <c r="NZK369" s="88"/>
      <c r="NZM369" s="377"/>
      <c r="NZN369" s="88"/>
      <c r="NZO369" s="88"/>
      <c r="NZQ369" s="377"/>
      <c r="NZR369" s="88"/>
      <c r="NZS369" s="88"/>
      <c r="NZU369" s="377"/>
      <c r="NZV369" s="88"/>
      <c r="NZW369" s="88"/>
      <c r="NZY369" s="377"/>
      <c r="NZZ369" s="88"/>
      <c r="OAA369" s="88"/>
      <c r="OAC369" s="377"/>
      <c r="OAD369" s="88"/>
      <c r="OAE369" s="88"/>
      <c r="OAG369" s="377"/>
      <c r="OAH369" s="88"/>
      <c r="OAI369" s="88"/>
      <c r="OAK369" s="377"/>
      <c r="OAL369" s="88"/>
      <c r="OAM369" s="88"/>
      <c r="OAO369" s="377"/>
      <c r="OAP369" s="88"/>
      <c r="OAQ369" s="88"/>
      <c r="OAS369" s="377"/>
      <c r="OAT369" s="88"/>
      <c r="OAU369" s="88"/>
      <c r="OAW369" s="377"/>
      <c r="OAX369" s="88"/>
      <c r="OAY369" s="88"/>
      <c r="OBA369" s="377"/>
      <c r="OBB369" s="88"/>
      <c r="OBC369" s="88"/>
      <c r="OBE369" s="377"/>
      <c r="OBF369" s="88"/>
      <c r="OBG369" s="88"/>
      <c r="OBI369" s="377"/>
      <c r="OBJ369" s="88"/>
      <c r="OBK369" s="88"/>
      <c r="OBM369" s="377"/>
      <c r="OBN369" s="88"/>
      <c r="OBO369" s="88"/>
      <c r="OBQ369" s="377"/>
      <c r="OBR369" s="88"/>
      <c r="OBS369" s="88"/>
      <c r="OBU369" s="377"/>
      <c r="OBV369" s="88"/>
      <c r="OBW369" s="88"/>
      <c r="OBY369" s="377"/>
      <c r="OBZ369" s="88"/>
      <c r="OCA369" s="88"/>
      <c r="OCC369" s="377"/>
      <c r="OCD369" s="88"/>
      <c r="OCE369" s="88"/>
      <c r="OCG369" s="377"/>
      <c r="OCH369" s="88"/>
      <c r="OCI369" s="88"/>
      <c r="OCK369" s="377"/>
      <c r="OCL369" s="88"/>
      <c r="OCM369" s="88"/>
      <c r="OCO369" s="377"/>
      <c r="OCP369" s="88"/>
      <c r="OCQ369" s="88"/>
      <c r="OCS369" s="377"/>
      <c r="OCT369" s="88"/>
      <c r="OCU369" s="88"/>
      <c r="OCW369" s="377"/>
      <c r="OCX369" s="88"/>
      <c r="OCY369" s="88"/>
      <c r="ODA369" s="377"/>
      <c r="ODB369" s="88"/>
      <c r="ODC369" s="88"/>
      <c r="ODE369" s="377"/>
      <c r="ODF369" s="88"/>
      <c r="ODG369" s="88"/>
      <c r="ODI369" s="377"/>
      <c r="ODJ369" s="88"/>
      <c r="ODK369" s="88"/>
      <c r="ODM369" s="377"/>
      <c r="ODN369" s="88"/>
      <c r="ODO369" s="88"/>
      <c r="ODQ369" s="377"/>
      <c r="ODR369" s="88"/>
      <c r="ODS369" s="88"/>
      <c r="ODU369" s="377"/>
      <c r="ODV369" s="88"/>
      <c r="ODW369" s="88"/>
      <c r="ODY369" s="377"/>
      <c r="ODZ369" s="88"/>
      <c r="OEA369" s="88"/>
      <c r="OEC369" s="377"/>
      <c r="OED369" s="88"/>
      <c r="OEE369" s="88"/>
      <c r="OEG369" s="377"/>
      <c r="OEH369" s="88"/>
      <c r="OEI369" s="88"/>
      <c r="OEK369" s="377"/>
      <c r="OEL369" s="88"/>
      <c r="OEM369" s="88"/>
      <c r="OEO369" s="377"/>
      <c r="OEP369" s="88"/>
      <c r="OEQ369" s="88"/>
      <c r="OES369" s="377"/>
      <c r="OET369" s="88"/>
      <c r="OEU369" s="88"/>
      <c r="OEW369" s="377"/>
      <c r="OEX369" s="88"/>
      <c r="OEY369" s="88"/>
      <c r="OFA369" s="377"/>
      <c r="OFB369" s="88"/>
      <c r="OFC369" s="88"/>
      <c r="OFE369" s="377"/>
      <c r="OFF369" s="88"/>
      <c r="OFG369" s="88"/>
      <c r="OFI369" s="377"/>
      <c r="OFJ369" s="88"/>
      <c r="OFK369" s="88"/>
      <c r="OFM369" s="377"/>
      <c r="OFN369" s="88"/>
      <c r="OFO369" s="88"/>
      <c r="OFQ369" s="377"/>
      <c r="OFR369" s="88"/>
      <c r="OFS369" s="88"/>
      <c r="OFU369" s="377"/>
      <c r="OFV369" s="88"/>
      <c r="OFW369" s="88"/>
      <c r="OFY369" s="377"/>
      <c r="OFZ369" s="88"/>
      <c r="OGA369" s="88"/>
      <c r="OGC369" s="377"/>
      <c r="OGD369" s="88"/>
      <c r="OGE369" s="88"/>
      <c r="OGG369" s="377"/>
      <c r="OGH369" s="88"/>
      <c r="OGI369" s="88"/>
      <c r="OGK369" s="377"/>
      <c r="OGL369" s="88"/>
      <c r="OGM369" s="88"/>
      <c r="OGO369" s="377"/>
      <c r="OGP369" s="88"/>
      <c r="OGQ369" s="88"/>
      <c r="OGS369" s="377"/>
      <c r="OGT369" s="88"/>
      <c r="OGU369" s="88"/>
      <c r="OGW369" s="377"/>
      <c r="OGX369" s="88"/>
      <c r="OGY369" s="88"/>
      <c r="OHA369" s="377"/>
      <c r="OHB369" s="88"/>
      <c r="OHC369" s="88"/>
      <c r="OHE369" s="377"/>
      <c r="OHF369" s="88"/>
      <c r="OHG369" s="88"/>
      <c r="OHI369" s="377"/>
      <c r="OHJ369" s="88"/>
      <c r="OHK369" s="88"/>
      <c r="OHM369" s="377"/>
      <c r="OHN369" s="88"/>
      <c r="OHO369" s="88"/>
      <c r="OHQ369" s="377"/>
      <c r="OHR369" s="88"/>
      <c r="OHS369" s="88"/>
      <c r="OHU369" s="377"/>
      <c r="OHV369" s="88"/>
      <c r="OHW369" s="88"/>
      <c r="OHY369" s="377"/>
      <c r="OHZ369" s="88"/>
      <c r="OIA369" s="88"/>
      <c r="OIC369" s="377"/>
      <c r="OID369" s="88"/>
      <c r="OIE369" s="88"/>
      <c r="OIG369" s="377"/>
      <c r="OIH369" s="88"/>
      <c r="OII369" s="88"/>
      <c r="OIK369" s="377"/>
      <c r="OIL369" s="88"/>
      <c r="OIM369" s="88"/>
      <c r="OIO369" s="377"/>
      <c r="OIP369" s="88"/>
      <c r="OIQ369" s="88"/>
      <c r="OIS369" s="377"/>
      <c r="OIT369" s="88"/>
      <c r="OIU369" s="88"/>
      <c r="OIW369" s="377"/>
      <c r="OIX369" s="88"/>
      <c r="OIY369" s="88"/>
      <c r="OJA369" s="377"/>
      <c r="OJB369" s="88"/>
      <c r="OJC369" s="88"/>
      <c r="OJE369" s="377"/>
      <c r="OJF369" s="88"/>
      <c r="OJG369" s="88"/>
      <c r="OJI369" s="377"/>
      <c r="OJJ369" s="88"/>
      <c r="OJK369" s="88"/>
      <c r="OJM369" s="377"/>
      <c r="OJN369" s="88"/>
      <c r="OJO369" s="88"/>
      <c r="OJQ369" s="377"/>
      <c r="OJR369" s="88"/>
      <c r="OJS369" s="88"/>
      <c r="OJU369" s="377"/>
      <c r="OJV369" s="88"/>
      <c r="OJW369" s="88"/>
      <c r="OJY369" s="377"/>
      <c r="OJZ369" s="88"/>
      <c r="OKA369" s="88"/>
      <c r="OKC369" s="377"/>
      <c r="OKD369" s="88"/>
      <c r="OKE369" s="88"/>
      <c r="OKG369" s="377"/>
      <c r="OKH369" s="88"/>
      <c r="OKI369" s="88"/>
      <c r="OKK369" s="377"/>
      <c r="OKL369" s="88"/>
      <c r="OKM369" s="88"/>
      <c r="OKO369" s="377"/>
      <c r="OKP369" s="88"/>
      <c r="OKQ369" s="88"/>
      <c r="OKS369" s="377"/>
      <c r="OKT369" s="88"/>
      <c r="OKU369" s="88"/>
      <c r="OKW369" s="377"/>
      <c r="OKX369" s="88"/>
      <c r="OKY369" s="88"/>
      <c r="OLA369" s="377"/>
      <c r="OLB369" s="88"/>
      <c r="OLC369" s="88"/>
      <c r="OLE369" s="377"/>
      <c r="OLF369" s="88"/>
      <c r="OLG369" s="88"/>
      <c r="OLI369" s="377"/>
      <c r="OLJ369" s="88"/>
      <c r="OLK369" s="88"/>
      <c r="OLM369" s="377"/>
      <c r="OLN369" s="88"/>
      <c r="OLO369" s="88"/>
      <c r="OLQ369" s="377"/>
      <c r="OLR369" s="88"/>
      <c r="OLS369" s="88"/>
      <c r="OLU369" s="377"/>
      <c r="OLV369" s="88"/>
      <c r="OLW369" s="88"/>
      <c r="OLY369" s="377"/>
      <c r="OLZ369" s="88"/>
      <c r="OMA369" s="88"/>
      <c r="OMC369" s="377"/>
      <c r="OMD369" s="88"/>
      <c r="OME369" s="88"/>
      <c r="OMG369" s="377"/>
      <c r="OMH369" s="88"/>
      <c r="OMI369" s="88"/>
      <c r="OMK369" s="377"/>
      <c r="OML369" s="88"/>
      <c r="OMM369" s="88"/>
      <c r="OMO369" s="377"/>
      <c r="OMP369" s="88"/>
      <c r="OMQ369" s="88"/>
      <c r="OMS369" s="377"/>
      <c r="OMT369" s="88"/>
      <c r="OMU369" s="88"/>
      <c r="OMW369" s="377"/>
      <c r="OMX369" s="88"/>
      <c r="OMY369" s="88"/>
      <c r="ONA369" s="377"/>
      <c r="ONB369" s="88"/>
      <c r="ONC369" s="88"/>
      <c r="ONE369" s="377"/>
      <c r="ONF369" s="88"/>
      <c r="ONG369" s="88"/>
      <c r="ONI369" s="377"/>
      <c r="ONJ369" s="88"/>
      <c r="ONK369" s="88"/>
      <c r="ONM369" s="377"/>
      <c r="ONN369" s="88"/>
      <c r="ONO369" s="88"/>
      <c r="ONQ369" s="377"/>
      <c r="ONR369" s="88"/>
      <c r="ONS369" s="88"/>
      <c r="ONU369" s="377"/>
      <c r="ONV369" s="88"/>
      <c r="ONW369" s="88"/>
      <c r="ONY369" s="377"/>
      <c r="ONZ369" s="88"/>
      <c r="OOA369" s="88"/>
      <c r="OOC369" s="377"/>
      <c r="OOD369" s="88"/>
      <c r="OOE369" s="88"/>
      <c r="OOG369" s="377"/>
      <c r="OOH369" s="88"/>
      <c r="OOI369" s="88"/>
      <c r="OOK369" s="377"/>
      <c r="OOL369" s="88"/>
      <c r="OOM369" s="88"/>
      <c r="OOO369" s="377"/>
      <c r="OOP369" s="88"/>
      <c r="OOQ369" s="88"/>
      <c r="OOS369" s="377"/>
      <c r="OOT369" s="88"/>
      <c r="OOU369" s="88"/>
      <c r="OOW369" s="377"/>
      <c r="OOX369" s="88"/>
      <c r="OOY369" s="88"/>
      <c r="OPA369" s="377"/>
      <c r="OPB369" s="88"/>
      <c r="OPC369" s="88"/>
      <c r="OPE369" s="377"/>
      <c r="OPF369" s="88"/>
      <c r="OPG369" s="88"/>
      <c r="OPI369" s="377"/>
      <c r="OPJ369" s="88"/>
      <c r="OPK369" s="88"/>
      <c r="OPM369" s="377"/>
      <c r="OPN369" s="88"/>
      <c r="OPO369" s="88"/>
      <c r="OPQ369" s="377"/>
      <c r="OPR369" s="88"/>
      <c r="OPS369" s="88"/>
      <c r="OPU369" s="377"/>
      <c r="OPV369" s="88"/>
      <c r="OPW369" s="88"/>
      <c r="OPY369" s="377"/>
      <c r="OPZ369" s="88"/>
      <c r="OQA369" s="88"/>
      <c r="OQC369" s="377"/>
      <c r="OQD369" s="88"/>
      <c r="OQE369" s="88"/>
      <c r="OQG369" s="377"/>
      <c r="OQH369" s="88"/>
      <c r="OQI369" s="88"/>
      <c r="OQK369" s="377"/>
      <c r="OQL369" s="88"/>
      <c r="OQM369" s="88"/>
      <c r="OQO369" s="377"/>
      <c r="OQP369" s="88"/>
      <c r="OQQ369" s="88"/>
      <c r="OQS369" s="377"/>
      <c r="OQT369" s="88"/>
      <c r="OQU369" s="88"/>
      <c r="OQW369" s="377"/>
      <c r="OQX369" s="88"/>
      <c r="OQY369" s="88"/>
      <c r="ORA369" s="377"/>
      <c r="ORB369" s="88"/>
      <c r="ORC369" s="88"/>
      <c r="ORE369" s="377"/>
      <c r="ORF369" s="88"/>
      <c r="ORG369" s="88"/>
      <c r="ORI369" s="377"/>
      <c r="ORJ369" s="88"/>
      <c r="ORK369" s="88"/>
      <c r="ORM369" s="377"/>
      <c r="ORN369" s="88"/>
      <c r="ORO369" s="88"/>
      <c r="ORQ369" s="377"/>
      <c r="ORR369" s="88"/>
      <c r="ORS369" s="88"/>
      <c r="ORU369" s="377"/>
      <c r="ORV369" s="88"/>
      <c r="ORW369" s="88"/>
      <c r="ORY369" s="377"/>
      <c r="ORZ369" s="88"/>
      <c r="OSA369" s="88"/>
      <c r="OSC369" s="377"/>
      <c r="OSD369" s="88"/>
      <c r="OSE369" s="88"/>
      <c r="OSG369" s="377"/>
      <c r="OSH369" s="88"/>
      <c r="OSI369" s="88"/>
      <c r="OSK369" s="377"/>
      <c r="OSL369" s="88"/>
      <c r="OSM369" s="88"/>
      <c r="OSO369" s="377"/>
      <c r="OSP369" s="88"/>
      <c r="OSQ369" s="88"/>
      <c r="OSS369" s="377"/>
      <c r="OST369" s="88"/>
      <c r="OSU369" s="88"/>
      <c r="OSW369" s="377"/>
      <c r="OSX369" s="88"/>
      <c r="OSY369" s="88"/>
      <c r="OTA369" s="377"/>
      <c r="OTB369" s="88"/>
      <c r="OTC369" s="88"/>
      <c r="OTE369" s="377"/>
      <c r="OTF369" s="88"/>
      <c r="OTG369" s="88"/>
      <c r="OTI369" s="377"/>
      <c r="OTJ369" s="88"/>
      <c r="OTK369" s="88"/>
      <c r="OTM369" s="377"/>
      <c r="OTN369" s="88"/>
      <c r="OTO369" s="88"/>
      <c r="OTQ369" s="377"/>
      <c r="OTR369" s="88"/>
      <c r="OTS369" s="88"/>
      <c r="OTU369" s="377"/>
      <c r="OTV369" s="88"/>
      <c r="OTW369" s="88"/>
      <c r="OTY369" s="377"/>
      <c r="OTZ369" s="88"/>
      <c r="OUA369" s="88"/>
      <c r="OUC369" s="377"/>
      <c r="OUD369" s="88"/>
      <c r="OUE369" s="88"/>
      <c r="OUG369" s="377"/>
      <c r="OUH369" s="88"/>
      <c r="OUI369" s="88"/>
      <c r="OUK369" s="377"/>
      <c r="OUL369" s="88"/>
      <c r="OUM369" s="88"/>
      <c r="OUO369" s="377"/>
      <c r="OUP369" s="88"/>
      <c r="OUQ369" s="88"/>
      <c r="OUS369" s="377"/>
      <c r="OUT369" s="88"/>
      <c r="OUU369" s="88"/>
      <c r="OUW369" s="377"/>
      <c r="OUX369" s="88"/>
      <c r="OUY369" s="88"/>
      <c r="OVA369" s="377"/>
      <c r="OVB369" s="88"/>
      <c r="OVC369" s="88"/>
      <c r="OVE369" s="377"/>
      <c r="OVF369" s="88"/>
      <c r="OVG369" s="88"/>
      <c r="OVI369" s="377"/>
      <c r="OVJ369" s="88"/>
      <c r="OVK369" s="88"/>
      <c r="OVM369" s="377"/>
      <c r="OVN369" s="88"/>
      <c r="OVO369" s="88"/>
      <c r="OVQ369" s="377"/>
      <c r="OVR369" s="88"/>
      <c r="OVS369" s="88"/>
      <c r="OVU369" s="377"/>
      <c r="OVV369" s="88"/>
      <c r="OVW369" s="88"/>
      <c r="OVY369" s="377"/>
      <c r="OVZ369" s="88"/>
      <c r="OWA369" s="88"/>
      <c r="OWC369" s="377"/>
      <c r="OWD369" s="88"/>
      <c r="OWE369" s="88"/>
      <c r="OWG369" s="377"/>
      <c r="OWH369" s="88"/>
      <c r="OWI369" s="88"/>
      <c r="OWK369" s="377"/>
      <c r="OWL369" s="88"/>
      <c r="OWM369" s="88"/>
      <c r="OWO369" s="377"/>
      <c r="OWP369" s="88"/>
      <c r="OWQ369" s="88"/>
      <c r="OWS369" s="377"/>
      <c r="OWT369" s="88"/>
      <c r="OWU369" s="88"/>
      <c r="OWW369" s="377"/>
      <c r="OWX369" s="88"/>
      <c r="OWY369" s="88"/>
      <c r="OXA369" s="377"/>
      <c r="OXB369" s="88"/>
      <c r="OXC369" s="88"/>
      <c r="OXE369" s="377"/>
      <c r="OXF369" s="88"/>
      <c r="OXG369" s="88"/>
      <c r="OXI369" s="377"/>
      <c r="OXJ369" s="88"/>
      <c r="OXK369" s="88"/>
      <c r="OXM369" s="377"/>
      <c r="OXN369" s="88"/>
      <c r="OXO369" s="88"/>
      <c r="OXQ369" s="377"/>
      <c r="OXR369" s="88"/>
      <c r="OXS369" s="88"/>
      <c r="OXU369" s="377"/>
      <c r="OXV369" s="88"/>
      <c r="OXW369" s="88"/>
      <c r="OXY369" s="377"/>
      <c r="OXZ369" s="88"/>
      <c r="OYA369" s="88"/>
      <c r="OYC369" s="377"/>
      <c r="OYD369" s="88"/>
      <c r="OYE369" s="88"/>
      <c r="OYG369" s="377"/>
      <c r="OYH369" s="88"/>
      <c r="OYI369" s="88"/>
      <c r="OYK369" s="377"/>
      <c r="OYL369" s="88"/>
      <c r="OYM369" s="88"/>
      <c r="OYO369" s="377"/>
      <c r="OYP369" s="88"/>
      <c r="OYQ369" s="88"/>
      <c r="OYS369" s="377"/>
      <c r="OYT369" s="88"/>
      <c r="OYU369" s="88"/>
      <c r="OYW369" s="377"/>
      <c r="OYX369" s="88"/>
      <c r="OYY369" s="88"/>
      <c r="OZA369" s="377"/>
      <c r="OZB369" s="88"/>
      <c r="OZC369" s="88"/>
      <c r="OZE369" s="377"/>
      <c r="OZF369" s="88"/>
      <c r="OZG369" s="88"/>
      <c r="OZI369" s="377"/>
      <c r="OZJ369" s="88"/>
      <c r="OZK369" s="88"/>
      <c r="OZM369" s="377"/>
      <c r="OZN369" s="88"/>
      <c r="OZO369" s="88"/>
      <c r="OZQ369" s="377"/>
      <c r="OZR369" s="88"/>
      <c r="OZS369" s="88"/>
      <c r="OZU369" s="377"/>
      <c r="OZV369" s="88"/>
      <c r="OZW369" s="88"/>
      <c r="OZY369" s="377"/>
      <c r="OZZ369" s="88"/>
      <c r="PAA369" s="88"/>
      <c r="PAC369" s="377"/>
      <c r="PAD369" s="88"/>
      <c r="PAE369" s="88"/>
      <c r="PAG369" s="377"/>
      <c r="PAH369" s="88"/>
      <c r="PAI369" s="88"/>
      <c r="PAK369" s="377"/>
      <c r="PAL369" s="88"/>
      <c r="PAM369" s="88"/>
      <c r="PAO369" s="377"/>
      <c r="PAP369" s="88"/>
      <c r="PAQ369" s="88"/>
      <c r="PAS369" s="377"/>
      <c r="PAT369" s="88"/>
      <c r="PAU369" s="88"/>
      <c r="PAW369" s="377"/>
      <c r="PAX369" s="88"/>
      <c r="PAY369" s="88"/>
      <c r="PBA369" s="377"/>
      <c r="PBB369" s="88"/>
      <c r="PBC369" s="88"/>
      <c r="PBE369" s="377"/>
      <c r="PBF369" s="88"/>
      <c r="PBG369" s="88"/>
      <c r="PBI369" s="377"/>
      <c r="PBJ369" s="88"/>
      <c r="PBK369" s="88"/>
      <c r="PBM369" s="377"/>
      <c r="PBN369" s="88"/>
      <c r="PBO369" s="88"/>
      <c r="PBQ369" s="377"/>
      <c r="PBR369" s="88"/>
      <c r="PBS369" s="88"/>
      <c r="PBU369" s="377"/>
      <c r="PBV369" s="88"/>
      <c r="PBW369" s="88"/>
      <c r="PBY369" s="377"/>
      <c r="PBZ369" s="88"/>
      <c r="PCA369" s="88"/>
      <c r="PCC369" s="377"/>
      <c r="PCD369" s="88"/>
      <c r="PCE369" s="88"/>
      <c r="PCG369" s="377"/>
      <c r="PCH369" s="88"/>
      <c r="PCI369" s="88"/>
      <c r="PCK369" s="377"/>
      <c r="PCL369" s="88"/>
      <c r="PCM369" s="88"/>
      <c r="PCO369" s="377"/>
      <c r="PCP369" s="88"/>
      <c r="PCQ369" s="88"/>
      <c r="PCS369" s="377"/>
      <c r="PCT369" s="88"/>
      <c r="PCU369" s="88"/>
      <c r="PCW369" s="377"/>
      <c r="PCX369" s="88"/>
      <c r="PCY369" s="88"/>
      <c r="PDA369" s="377"/>
      <c r="PDB369" s="88"/>
      <c r="PDC369" s="88"/>
      <c r="PDE369" s="377"/>
      <c r="PDF369" s="88"/>
      <c r="PDG369" s="88"/>
      <c r="PDI369" s="377"/>
      <c r="PDJ369" s="88"/>
      <c r="PDK369" s="88"/>
      <c r="PDM369" s="377"/>
      <c r="PDN369" s="88"/>
      <c r="PDO369" s="88"/>
      <c r="PDQ369" s="377"/>
      <c r="PDR369" s="88"/>
      <c r="PDS369" s="88"/>
      <c r="PDU369" s="377"/>
      <c r="PDV369" s="88"/>
      <c r="PDW369" s="88"/>
      <c r="PDY369" s="377"/>
      <c r="PDZ369" s="88"/>
      <c r="PEA369" s="88"/>
      <c r="PEC369" s="377"/>
      <c r="PED369" s="88"/>
      <c r="PEE369" s="88"/>
      <c r="PEG369" s="377"/>
      <c r="PEH369" s="88"/>
      <c r="PEI369" s="88"/>
      <c r="PEK369" s="377"/>
      <c r="PEL369" s="88"/>
      <c r="PEM369" s="88"/>
      <c r="PEO369" s="377"/>
      <c r="PEP369" s="88"/>
      <c r="PEQ369" s="88"/>
      <c r="PES369" s="377"/>
      <c r="PET369" s="88"/>
      <c r="PEU369" s="88"/>
      <c r="PEW369" s="377"/>
      <c r="PEX369" s="88"/>
      <c r="PEY369" s="88"/>
      <c r="PFA369" s="377"/>
      <c r="PFB369" s="88"/>
      <c r="PFC369" s="88"/>
      <c r="PFE369" s="377"/>
      <c r="PFF369" s="88"/>
      <c r="PFG369" s="88"/>
      <c r="PFI369" s="377"/>
      <c r="PFJ369" s="88"/>
      <c r="PFK369" s="88"/>
      <c r="PFM369" s="377"/>
      <c r="PFN369" s="88"/>
      <c r="PFO369" s="88"/>
      <c r="PFQ369" s="377"/>
      <c r="PFR369" s="88"/>
      <c r="PFS369" s="88"/>
      <c r="PFU369" s="377"/>
      <c r="PFV369" s="88"/>
      <c r="PFW369" s="88"/>
      <c r="PFY369" s="377"/>
      <c r="PFZ369" s="88"/>
      <c r="PGA369" s="88"/>
      <c r="PGC369" s="377"/>
      <c r="PGD369" s="88"/>
      <c r="PGE369" s="88"/>
      <c r="PGG369" s="377"/>
      <c r="PGH369" s="88"/>
      <c r="PGI369" s="88"/>
      <c r="PGK369" s="377"/>
      <c r="PGL369" s="88"/>
      <c r="PGM369" s="88"/>
      <c r="PGO369" s="377"/>
      <c r="PGP369" s="88"/>
      <c r="PGQ369" s="88"/>
      <c r="PGS369" s="377"/>
      <c r="PGT369" s="88"/>
      <c r="PGU369" s="88"/>
      <c r="PGW369" s="377"/>
      <c r="PGX369" s="88"/>
      <c r="PGY369" s="88"/>
      <c r="PHA369" s="377"/>
      <c r="PHB369" s="88"/>
      <c r="PHC369" s="88"/>
      <c r="PHE369" s="377"/>
      <c r="PHF369" s="88"/>
      <c r="PHG369" s="88"/>
      <c r="PHI369" s="377"/>
      <c r="PHJ369" s="88"/>
      <c r="PHK369" s="88"/>
      <c r="PHM369" s="377"/>
      <c r="PHN369" s="88"/>
      <c r="PHO369" s="88"/>
      <c r="PHQ369" s="377"/>
      <c r="PHR369" s="88"/>
      <c r="PHS369" s="88"/>
      <c r="PHU369" s="377"/>
      <c r="PHV369" s="88"/>
      <c r="PHW369" s="88"/>
      <c r="PHY369" s="377"/>
      <c r="PHZ369" s="88"/>
      <c r="PIA369" s="88"/>
      <c r="PIC369" s="377"/>
      <c r="PID369" s="88"/>
      <c r="PIE369" s="88"/>
      <c r="PIG369" s="377"/>
      <c r="PIH369" s="88"/>
      <c r="PII369" s="88"/>
      <c r="PIK369" s="377"/>
      <c r="PIL369" s="88"/>
      <c r="PIM369" s="88"/>
      <c r="PIO369" s="377"/>
      <c r="PIP369" s="88"/>
      <c r="PIQ369" s="88"/>
      <c r="PIS369" s="377"/>
      <c r="PIT369" s="88"/>
      <c r="PIU369" s="88"/>
      <c r="PIW369" s="377"/>
      <c r="PIX369" s="88"/>
      <c r="PIY369" s="88"/>
      <c r="PJA369" s="377"/>
      <c r="PJB369" s="88"/>
      <c r="PJC369" s="88"/>
      <c r="PJE369" s="377"/>
      <c r="PJF369" s="88"/>
      <c r="PJG369" s="88"/>
      <c r="PJI369" s="377"/>
      <c r="PJJ369" s="88"/>
      <c r="PJK369" s="88"/>
      <c r="PJM369" s="377"/>
      <c r="PJN369" s="88"/>
      <c r="PJO369" s="88"/>
      <c r="PJQ369" s="377"/>
      <c r="PJR369" s="88"/>
      <c r="PJS369" s="88"/>
      <c r="PJU369" s="377"/>
      <c r="PJV369" s="88"/>
      <c r="PJW369" s="88"/>
      <c r="PJY369" s="377"/>
      <c r="PJZ369" s="88"/>
      <c r="PKA369" s="88"/>
      <c r="PKC369" s="377"/>
      <c r="PKD369" s="88"/>
      <c r="PKE369" s="88"/>
      <c r="PKG369" s="377"/>
      <c r="PKH369" s="88"/>
      <c r="PKI369" s="88"/>
      <c r="PKK369" s="377"/>
      <c r="PKL369" s="88"/>
      <c r="PKM369" s="88"/>
      <c r="PKO369" s="377"/>
      <c r="PKP369" s="88"/>
      <c r="PKQ369" s="88"/>
      <c r="PKS369" s="377"/>
      <c r="PKT369" s="88"/>
      <c r="PKU369" s="88"/>
      <c r="PKW369" s="377"/>
      <c r="PKX369" s="88"/>
      <c r="PKY369" s="88"/>
      <c r="PLA369" s="377"/>
      <c r="PLB369" s="88"/>
      <c r="PLC369" s="88"/>
      <c r="PLE369" s="377"/>
      <c r="PLF369" s="88"/>
      <c r="PLG369" s="88"/>
      <c r="PLI369" s="377"/>
      <c r="PLJ369" s="88"/>
      <c r="PLK369" s="88"/>
      <c r="PLM369" s="377"/>
      <c r="PLN369" s="88"/>
      <c r="PLO369" s="88"/>
      <c r="PLQ369" s="377"/>
      <c r="PLR369" s="88"/>
      <c r="PLS369" s="88"/>
      <c r="PLU369" s="377"/>
      <c r="PLV369" s="88"/>
      <c r="PLW369" s="88"/>
      <c r="PLY369" s="377"/>
      <c r="PLZ369" s="88"/>
      <c r="PMA369" s="88"/>
      <c r="PMC369" s="377"/>
      <c r="PMD369" s="88"/>
      <c r="PME369" s="88"/>
      <c r="PMG369" s="377"/>
      <c r="PMH369" s="88"/>
      <c r="PMI369" s="88"/>
      <c r="PMK369" s="377"/>
      <c r="PML369" s="88"/>
      <c r="PMM369" s="88"/>
      <c r="PMO369" s="377"/>
      <c r="PMP369" s="88"/>
      <c r="PMQ369" s="88"/>
      <c r="PMS369" s="377"/>
      <c r="PMT369" s="88"/>
      <c r="PMU369" s="88"/>
      <c r="PMW369" s="377"/>
      <c r="PMX369" s="88"/>
      <c r="PMY369" s="88"/>
      <c r="PNA369" s="377"/>
      <c r="PNB369" s="88"/>
      <c r="PNC369" s="88"/>
      <c r="PNE369" s="377"/>
      <c r="PNF369" s="88"/>
      <c r="PNG369" s="88"/>
      <c r="PNI369" s="377"/>
      <c r="PNJ369" s="88"/>
      <c r="PNK369" s="88"/>
      <c r="PNM369" s="377"/>
      <c r="PNN369" s="88"/>
      <c r="PNO369" s="88"/>
      <c r="PNQ369" s="377"/>
      <c r="PNR369" s="88"/>
      <c r="PNS369" s="88"/>
      <c r="PNU369" s="377"/>
      <c r="PNV369" s="88"/>
      <c r="PNW369" s="88"/>
      <c r="PNY369" s="377"/>
      <c r="PNZ369" s="88"/>
      <c r="POA369" s="88"/>
      <c r="POC369" s="377"/>
      <c r="POD369" s="88"/>
      <c r="POE369" s="88"/>
      <c r="POG369" s="377"/>
      <c r="POH369" s="88"/>
      <c r="POI369" s="88"/>
      <c r="POK369" s="377"/>
      <c r="POL369" s="88"/>
      <c r="POM369" s="88"/>
      <c r="POO369" s="377"/>
      <c r="POP369" s="88"/>
      <c r="POQ369" s="88"/>
      <c r="POS369" s="377"/>
      <c r="POT369" s="88"/>
      <c r="POU369" s="88"/>
      <c r="POW369" s="377"/>
      <c r="POX369" s="88"/>
      <c r="POY369" s="88"/>
      <c r="PPA369" s="377"/>
      <c r="PPB369" s="88"/>
      <c r="PPC369" s="88"/>
      <c r="PPE369" s="377"/>
      <c r="PPF369" s="88"/>
      <c r="PPG369" s="88"/>
      <c r="PPI369" s="377"/>
      <c r="PPJ369" s="88"/>
      <c r="PPK369" s="88"/>
      <c r="PPM369" s="377"/>
      <c r="PPN369" s="88"/>
      <c r="PPO369" s="88"/>
      <c r="PPQ369" s="377"/>
      <c r="PPR369" s="88"/>
      <c r="PPS369" s="88"/>
      <c r="PPU369" s="377"/>
      <c r="PPV369" s="88"/>
      <c r="PPW369" s="88"/>
      <c r="PPY369" s="377"/>
      <c r="PPZ369" s="88"/>
      <c r="PQA369" s="88"/>
      <c r="PQC369" s="377"/>
      <c r="PQD369" s="88"/>
      <c r="PQE369" s="88"/>
      <c r="PQG369" s="377"/>
      <c r="PQH369" s="88"/>
      <c r="PQI369" s="88"/>
      <c r="PQK369" s="377"/>
      <c r="PQL369" s="88"/>
      <c r="PQM369" s="88"/>
      <c r="PQO369" s="377"/>
      <c r="PQP369" s="88"/>
      <c r="PQQ369" s="88"/>
      <c r="PQS369" s="377"/>
      <c r="PQT369" s="88"/>
      <c r="PQU369" s="88"/>
      <c r="PQW369" s="377"/>
      <c r="PQX369" s="88"/>
      <c r="PQY369" s="88"/>
      <c r="PRA369" s="377"/>
      <c r="PRB369" s="88"/>
      <c r="PRC369" s="88"/>
      <c r="PRE369" s="377"/>
      <c r="PRF369" s="88"/>
      <c r="PRG369" s="88"/>
      <c r="PRI369" s="377"/>
      <c r="PRJ369" s="88"/>
      <c r="PRK369" s="88"/>
      <c r="PRM369" s="377"/>
      <c r="PRN369" s="88"/>
      <c r="PRO369" s="88"/>
      <c r="PRQ369" s="377"/>
      <c r="PRR369" s="88"/>
      <c r="PRS369" s="88"/>
      <c r="PRU369" s="377"/>
      <c r="PRV369" s="88"/>
      <c r="PRW369" s="88"/>
      <c r="PRY369" s="377"/>
      <c r="PRZ369" s="88"/>
      <c r="PSA369" s="88"/>
      <c r="PSC369" s="377"/>
      <c r="PSD369" s="88"/>
      <c r="PSE369" s="88"/>
      <c r="PSG369" s="377"/>
      <c r="PSH369" s="88"/>
      <c r="PSI369" s="88"/>
      <c r="PSK369" s="377"/>
      <c r="PSL369" s="88"/>
      <c r="PSM369" s="88"/>
      <c r="PSO369" s="377"/>
      <c r="PSP369" s="88"/>
      <c r="PSQ369" s="88"/>
      <c r="PSS369" s="377"/>
      <c r="PST369" s="88"/>
      <c r="PSU369" s="88"/>
      <c r="PSW369" s="377"/>
      <c r="PSX369" s="88"/>
      <c r="PSY369" s="88"/>
      <c r="PTA369" s="377"/>
      <c r="PTB369" s="88"/>
      <c r="PTC369" s="88"/>
      <c r="PTE369" s="377"/>
      <c r="PTF369" s="88"/>
      <c r="PTG369" s="88"/>
      <c r="PTI369" s="377"/>
      <c r="PTJ369" s="88"/>
      <c r="PTK369" s="88"/>
      <c r="PTM369" s="377"/>
      <c r="PTN369" s="88"/>
      <c r="PTO369" s="88"/>
      <c r="PTQ369" s="377"/>
      <c r="PTR369" s="88"/>
      <c r="PTS369" s="88"/>
      <c r="PTU369" s="377"/>
      <c r="PTV369" s="88"/>
      <c r="PTW369" s="88"/>
      <c r="PTY369" s="377"/>
      <c r="PTZ369" s="88"/>
      <c r="PUA369" s="88"/>
      <c r="PUC369" s="377"/>
      <c r="PUD369" s="88"/>
      <c r="PUE369" s="88"/>
      <c r="PUG369" s="377"/>
      <c r="PUH369" s="88"/>
      <c r="PUI369" s="88"/>
      <c r="PUK369" s="377"/>
      <c r="PUL369" s="88"/>
      <c r="PUM369" s="88"/>
      <c r="PUO369" s="377"/>
      <c r="PUP369" s="88"/>
      <c r="PUQ369" s="88"/>
      <c r="PUS369" s="377"/>
      <c r="PUT369" s="88"/>
      <c r="PUU369" s="88"/>
      <c r="PUW369" s="377"/>
      <c r="PUX369" s="88"/>
      <c r="PUY369" s="88"/>
      <c r="PVA369" s="377"/>
      <c r="PVB369" s="88"/>
      <c r="PVC369" s="88"/>
      <c r="PVE369" s="377"/>
      <c r="PVF369" s="88"/>
      <c r="PVG369" s="88"/>
      <c r="PVI369" s="377"/>
      <c r="PVJ369" s="88"/>
      <c r="PVK369" s="88"/>
      <c r="PVM369" s="377"/>
      <c r="PVN369" s="88"/>
      <c r="PVO369" s="88"/>
      <c r="PVQ369" s="377"/>
      <c r="PVR369" s="88"/>
      <c r="PVS369" s="88"/>
      <c r="PVU369" s="377"/>
      <c r="PVV369" s="88"/>
      <c r="PVW369" s="88"/>
      <c r="PVY369" s="377"/>
      <c r="PVZ369" s="88"/>
      <c r="PWA369" s="88"/>
      <c r="PWC369" s="377"/>
      <c r="PWD369" s="88"/>
      <c r="PWE369" s="88"/>
      <c r="PWG369" s="377"/>
      <c r="PWH369" s="88"/>
      <c r="PWI369" s="88"/>
      <c r="PWK369" s="377"/>
      <c r="PWL369" s="88"/>
      <c r="PWM369" s="88"/>
      <c r="PWO369" s="377"/>
      <c r="PWP369" s="88"/>
      <c r="PWQ369" s="88"/>
      <c r="PWS369" s="377"/>
      <c r="PWT369" s="88"/>
      <c r="PWU369" s="88"/>
      <c r="PWW369" s="377"/>
      <c r="PWX369" s="88"/>
      <c r="PWY369" s="88"/>
      <c r="PXA369" s="377"/>
      <c r="PXB369" s="88"/>
      <c r="PXC369" s="88"/>
      <c r="PXE369" s="377"/>
      <c r="PXF369" s="88"/>
      <c r="PXG369" s="88"/>
      <c r="PXI369" s="377"/>
      <c r="PXJ369" s="88"/>
      <c r="PXK369" s="88"/>
      <c r="PXM369" s="377"/>
      <c r="PXN369" s="88"/>
      <c r="PXO369" s="88"/>
      <c r="PXQ369" s="377"/>
      <c r="PXR369" s="88"/>
      <c r="PXS369" s="88"/>
      <c r="PXU369" s="377"/>
      <c r="PXV369" s="88"/>
      <c r="PXW369" s="88"/>
      <c r="PXY369" s="377"/>
      <c r="PXZ369" s="88"/>
      <c r="PYA369" s="88"/>
      <c r="PYC369" s="377"/>
      <c r="PYD369" s="88"/>
      <c r="PYE369" s="88"/>
      <c r="PYG369" s="377"/>
      <c r="PYH369" s="88"/>
      <c r="PYI369" s="88"/>
      <c r="PYK369" s="377"/>
      <c r="PYL369" s="88"/>
      <c r="PYM369" s="88"/>
      <c r="PYO369" s="377"/>
      <c r="PYP369" s="88"/>
      <c r="PYQ369" s="88"/>
      <c r="PYS369" s="377"/>
      <c r="PYT369" s="88"/>
      <c r="PYU369" s="88"/>
      <c r="PYW369" s="377"/>
      <c r="PYX369" s="88"/>
      <c r="PYY369" s="88"/>
      <c r="PZA369" s="377"/>
      <c r="PZB369" s="88"/>
      <c r="PZC369" s="88"/>
      <c r="PZE369" s="377"/>
      <c r="PZF369" s="88"/>
      <c r="PZG369" s="88"/>
      <c r="PZI369" s="377"/>
      <c r="PZJ369" s="88"/>
      <c r="PZK369" s="88"/>
      <c r="PZM369" s="377"/>
      <c r="PZN369" s="88"/>
      <c r="PZO369" s="88"/>
      <c r="PZQ369" s="377"/>
      <c r="PZR369" s="88"/>
      <c r="PZS369" s="88"/>
      <c r="PZU369" s="377"/>
      <c r="PZV369" s="88"/>
      <c r="PZW369" s="88"/>
      <c r="PZY369" s="377"/>
      <c r="PZZ369" s="88"/>
      <c r="QAA369" s="88"/>
      <c r="QAC369" s="377"/>
      <c r="QAD369" s="88"/>
      <c r="QAE369" s="88"/>
      <c r="QAG369" s="377"/>
      <c r="QAH369" s="88"/>
      <c r="QAI369" s="88"/>
      <c r="QAK369" s="377"/>
      <c r="QAL369" s="88"/>
      <c r="QAM369" s="88"/>
      <c r="QAO369" s="377"/>
      <c r="QAP369" s="88"/>
      <c r="QAQ369" s="88"/>
      <c r="QAS369" s="377"/>
      <c r="QAT369" s="88"/>
      <c r="QAU369" s="88"/>
      <c r="QAW369" s="377"/>
      <c r="QAX369" s="88"/>
      <c r="QAY369" s="88"/>
      <c r="QBA369" s="377"/>
      <c r="QBB369" s="88"/>
      <c r="QBC369" s="88"/>
      <c r="QBE369" s="377"/>
      <c r="QBF369" s="88"/>
      <c r="QBG369" s="88"/>
      <c r="QBI369" s="377"/>
      <c r="QBJ369" s="88"/>
      <c r="QBK369" s="88"/>
      <c r="QBM369" s="377"/>
      <c r="QBN369" s="88"/>
      <c r="QBO369" s="88"/>
      <c r="QBQ369" s="377"/>
      <c r="QBR369" s="88"/>
      <c r="QBS369" s="88"/>
      <c r="QBU369" s="377"/>
      <c r="QBV369" s="88"/>
      <c r="QBW369" s="88"/>
      <c r="QBY369" s="377"/>
      <c r="QBZ369" s="88"/>
      <c r="QCA369" s="88"/>
      <c r="QCC369" s="377"/>
      <c r="QCD369" s="88"/>
      <c r="QCE369" s="88"/>
      <c r="QCG369" s="377"/>
      <c r="QCH369" s="88"/>
      <c r="QCI369" s="88"/>
      <c r="QCK369" s="377"/>
      <c r="QCL369" s="88"/>
      <c r="QCM369" s="88"/>
      <c r="QCO369" s="377"/>
      <c r="QCP369" s="88"/>
      <c r="QCQ369" s="88"/>
      <c r="QCS369" s="377"/>
      <c r="QCT369" s="88"/>
      <c r="QCU369" s="88"/>
      <c r="QCW369" s="377"/>
      <c r="QCX369" s="88"/>
      <c r="QCY369" s="88"/>
      <c r="QDA369" s="377"/>
      <c r="QDB369" s="88"/>
      <c r="QDC369" s="88"/>
      <c r="QDE369" s="377"/>
      <c r="QDF369" s="88"/>
      <c r="QDG369" s="88"/>
      <c r="QDI369" s="377"/>
      <c r="QDJ369" s="88"/>
      <c r="QDK369" s="88"/>
      <c r="QDM369" s="377"/>
      <c r="QDN369" s="88"/>
      <c r="QDO369" s="88"/>
      <c r="QDQ369" s="377"/>
      <c r="QDR369" s="88"/>
      <c r="QDS369" s="88"/>
      <c r="QDU369" s="377"/>
      <c r="QDV369" s="88"/>
      <c r="QDW369" s="88"/>
      <c r="QDY369" s="377"/>
      <c r="QDZ369" s="88"/>
      <c r="QEA369" s="88"/>
      <c r="QEC369" s="377"/>
      <c r="QED369" s="88"/>
      <c r="QEE369" s="88"/>
      <c r="QEG369" s="377"/>
      <c r="QEH369" s="88"/>
      <c r="QEI369" s="88"/>
      <c r="QEK369" s="377"/>
      <c r="QEL369" s="88"/>
      <c r="QEM369" s="88"/>
      <c r="QEO369" s="377"/>
      <c r="QEP369" s="88"/>
      <c r="QEQ369" s="88"/>
      <c r="QES369" s="377"/>
      <c r="QET369" s="88"/>
      <c r="QEU369" s="88"/>
      <c r="QEW369" s="377"/>
      <c r="QEX369" s="88"/>
      <c r="QEY369" s="88"/>
      <c r="QFA369" s="377"/>
      <c r="QFB369" s="88"/>
      <c r="QFC369" s="88"/>
      <c r="QFE369" s="377"/>
      <c r="QFF369" s="88"/>
      <c r="QFG369" s="88"/>
      <c r="QFI369" s="377"/>
      <c r="QFJ369" s="88"/>
      <c r="QFK369" s="88"/>
      <c r="QFM369" s="377"/>
      <c r="QFN369" s="88"/>
      <c r="QFO369" s="88"/>
      <c r="QFQ369" s="377"/>
      <c r="QFR369" s="88"/>
      <c r="QFS369" s="88"/>
      <c r="QFU369" s="377"/>
      <c r="QFV369" s="88"/>
      <c r="QFW369" s="88"/>
      <c r="QFY369" s="377"/>
      <c r="QFZ369" s="88"/>
      <c r="QGA369" s="88"/>
      <c r="QGC369" s="377"/>
      <c r="QGD369" s="88"/>
      <c r="QGE369" s="88"/>
      <c r="QGG369" s="377"/>
      <c r="QGH369" s="88"/>
      <c r="QGI369" s="88"/>
      <c r="QGK369" s="377"/>
      <c r="QGL369" s="88"/>
      <c r="QGM369" s="88"/>
      <c r="QGO369" s="377"/>
      <c r="QGP369" s="88"/>
      <c r="QGQ369" s="88"/>
      <c r="QGS369" s="377"/>
      <c r="QGT369" s="88"/>
      <c r="QGU369" s="88"/>
      <c r="QGW369" s="377"/>
      <c r="QGX369" s="88"/>
      <c r="QGY369" s="88"/>
      <c r="QHA369" s="377"/>
      <c r="QHB369" s="88"/>
      <c r="QHC369" s="88"/>
      <c r="QHE369" s="377"/>
      <c r="QHF369" s="88"/>
      <c r="QHG369" s="88"/>
      <c r="QHI369" s="377"/>
      <c r="QHJ369" s="88"/>
      <c r="QHK369" s="88"/>
      <c r="QHM369" s="377"/>
      <c r="QHN369" s="88"/>
      <c r="QHO369" s="88"/>
      <c r="QHQ369" s="377"/>
      <c r="QHR369" s="88"/>
      <c r="QHS369" s="88"/>
      <c r="QHU369" s="377"/>
      <c r="QHV369" s="88"/>
      <c r="QHW369" s="88"/>
      <c r="QHY369" s="377"/>
      <c r="QHZ369" s="88"/>
      <c r="QIA369" s="88"/>
      <c r="QIC369" s="377"/>
      <c r="QID369" s="88"/>
      <c r="QIE369" s="88"/>
      <c r="QIG369" s="377"/>
      <c r="QIH369" s="88"/>
      <c r="QII369" s="88"/>
      <c r="QIK369" s="377"/>
      <c r="QIL369" s="88"/>
      <c r="QIM369" s="88"/>
      <c r="QIO369" s="377"/>
      <c r="QIP369" s="88"/>
      <c r="QIQ369" s="88"/>
      <c r="QIS369" s="377"/>
      <c r="QIT369" s="88"/>
      <c r="QIU369" s="88"/>
      <c r="QIW369" s="377"/>
      <c r="QIX369" s="88"/>
      <c r="QIY369" s="88"/>
      <c r="QJA369" s="377"/>
      <c r="QJB369" s="88"/>
      <c r="QJC369" s="88"/>
      <c r="QJE369" s="377"/>
      <c r="QJF369" s="88"/>
      <c r="QJG369" s="88"/>
      <c r="QJI369" s="377"/>
      <c r="QJJ369" s="88"/>
      <c r="QJK369" s="88"/>
      <c r="QJM369" s="377"/>
      <c r="QJN369" s="88"/>
      <c r="QJO369" s="88"/>
      <c r="QJQ369" s="377"/>
      <c r="QJR369" s="88"/>
      <c r="QJS369" s="88"/>
      <c r="QJU369" s="377"/>
      <c r="QJV369" s="88"/>
      <c r="QJW369" s="88"/>
      <c r="QJY369" s="377"/>
      <c r="QJZ369" s="88"/>
      <c r="QKA369" s="88"/>
      <c r="QKC369" s="377"/>
      <c r="QKD369" s="88"/>
      <c r="QKE369" s="88"/>
      <c r="QKG369" s="377"/>
      <c r="QKH369" s="88"/>
      <c r="QKI369" s="88"/>
      <c r="QKK369" s="377"/>
      <c r="QKL369" s="88"/>
      <c r="QKM369" s="88"/>
      <c r="QKO369" s="377"/>
      <c r="QKP369" s="88"/>
      <c r="QKQ369" s="88"/>
      <c r="QKS369" s="377"/>
      <c r="QKT369" s="88"/>
      <c r="QKU369" s="88"/>
      <c r="QKW369" s="377"/>
      <c r="QKX369" s="88"/>
      <c r="QKY369" s="88"/>
      <c r="QLA369" s="377"/>
      <c r="QLB369" s="88"/>
      <c r="QLC369" s="88"/>
      <c r="QLE369" s="377"/>
      <c r="QLF369" s="88"/>
      <c r="QLG369" s="88"/>
      <c r="QLI369" s="377"/>
      <c r="QLJ369" s="88"/>
      <c r="QLK369" s="88"/>
      <c r="QLM369" s="377"/>
      <c r="QLN369" s="88"/>
      <c r="QLO369" s="88"/>
      <c r="QLQ369" s="377"/>
      <c r="QLR369" s="88"/>
      <c r="QLS369" s="88"/>
      <c r="QLU369" s="377"/>
      <c r="QLV369" s="88"/>
      <c r="QLW369" s="88"/>
      <c r="QLY369" s="377"/>
      <c r="QLZ369" s="88"/>
      <c r="QMA369" s="88"/>
      <c r="QMC369" s="377"/>
      <c r="QMD369" s="88"/>
      <c r="QME369" s="88"/>
      <c r="QMG369" s="377"/>
      <c r="QMH369" s="88"/>
      <c r="QMI369" s="88"/>
      <c r="QMK369" s="377"/>
      <c r="QML369" s="88"/>
      <c r="QMM369" s="88"/>
      <c r="QMO369" s="377"/>
      <c r="QMP369" s="88"/>
      <c r="QMQ369" s="88"/>
      <c r="QMS369" s="377"/>
      <c r="QMT369" s="88"/>
      <c r="QMU369" s="88"/>
      <c r="QMW369" s="377"/>
      <c r="QMX369" s="88"/>
      <c r="QMY369" s="88"/>
      <c r="QNA369" s="377"/>
      <c r="QNB369" s="88"/>
      <c r="QNC369" s="88"/>
      <c r="QNE369" s="377"/>
      <c r="QNF369" s="88"/>
      <c r="QNG369" s="88"/>
      <c r="QNI369" s="377"/>
      <c r="QNJ369" s="88"/>
      <c r="QNK369" s="88"/>
      <c r="QNM369" s="377"/>
      <c r="QNN369" s="88"/>
      <c r="QNO369" s="88"/>
      <c r="QNQ369" s="377"/>
      <c r="QNR369" s="88"/>
      <c r="QNS369" s="88"/>
      <c r="QNU369" s="377"/>
      <c r="QNV369" s="88"/>
      <c r="QNW369" s="88"/>
      <c r="QNY369" s="377"/>
      <c r="QNZ369" s="88"/>
      <c r="QOA369" s="88"/>
      <c r="QOC369" s="377"/>
      <c r="QOD369" s="88"/>
      <c r="QOE369" s="88"/>
      <c r="QOG369" s="377"/>
      <c r="QOH369" s="88"/>
      <c r="QOI369" s="88"/>
      <c r="QOK369" s="377"/>
      <c r="QOL369" s="88"/>
      <c r="QOM369" s="88"/>
      <c r="QOO369" s="377"/>
      <c r="QOP369" s="88"/>
      <c r="QOQ369" s="88"/>
      <c r="QOS369" s="377"/>
      <c r="QOT369" s="88"/>
      <c r="QOU369" s="88"/>
      <c r="QOW369" s="377"/>
      <c r="QOX369" s="88"/>
      <c r="QOY369" s="88"/>
      <c r="QPA369" s="377"/>
      <c r="QPB369" s="88"/>
      <c r="QPC369" s="88"/>
      <c r="QPE369" s="377"/>
      <c r="QPF369" s="88"/>
      <c r="QPG369" s="88"/>
      <c r="QPI369" s="377"/>
      <c r="QPJ369" s="88"/>
      <c r="QPK369" s="88"/>
      <c r="QPM369" s="377"/>
      <c r="QPN369" s="88"/>
      <c r="QPO369" s="88"/>
      <c r="QPQ369" s="377"/>
      <c r="QPR369" s="88"/>
      <c r="QPS369" s="88"/>
      <c r="QPU369" s="377"/>
      <c r="QPV369" s="88"/>
      <c r="QPW369" s="88"/>
      <c r="QPY369" s="377"/>
      <c r="QPZ369" s="88"/>
      <c r="QQA369" s="88"/>
      <c r="QQC369" s="377"/>
      <c r="QQD369" s="88"/>
      <c r="QQE369" s="88"/>
      <c r="QQG369" s="377"/>
      <c r="QQH369" s="88"/>
      <c r="QQI369" s="88"/>
      <c r="QQK369" s="377"/>
      <c r="QQL369" s="88"/>
      <c r="QQM369" s="88"/>
      <c r="QQO369" s="377"/>
      <c r="QQP369" s="88"/>
      <c r="QQQ369" s="88"/>
      <c r="QQS369" s="377"/>
      <c r="QQT369" s="88"/>
      <c r="QQU369" s="88"/>
      <c r="QQW369" s="377"/>
      <c r="QQX369" s="88"/>
      <c r="QQY369" s="88"/>
      <c r="QRA369" s="377"/>
      <c r="QRB369" s="88"/>
      <c r="QRC369" s="88"/>
      <c r="QRE369" s="377"/>
      <c r="QRF369" s="88"/>
      <c r="QRG369" s="88"/>
      <c r="QRI369" s="377"/>
      <c r="QRJ369" s="88"/>
      <c r="QRK369" s="88"/>
      <c r="QRM369" s="377"/>
      <c r="QRN369" s="88"/>
      <c r="QRO369" s="88"/>
      <c r="QRQ369" s="377"/>
      <c r="QRR369" s="88"/>
      <c r="QRS369" s="88"/>
      <c r="QRU369" s="377"/>
      <c r="QRV369" s="88"/>
      <c r="QRW369" s="88"/>
      <c r="QRY369" s="377"/>
      <c r="QRZ369" s="88"/>
      <c r="QSA369" s="88"/>
      <c r="QSC369" s="377"/>
      <c r="QSD369" s="88"/>
      <c r="QSE369" s="88"/>
      <c r="QSG369" s="377"/>
      <c r="QSH369" s="88"/>
      <c r="QSI369" s="88"/>
      <c r="QSK369" s="377"/>
      <c r="QSL369" s="88"/>
      <c r="QSM369" s="88"/>
      <c r="QSO369" s="377"/>
      <c r="QSP369" s="88"/>
      <c r="QSQ369" s="88"/>
      <c r="QSS369" s="377"/>
      <c r="QST369" s="88"/>
      <c r="QSU369" s="88"/>
      <c r="QSW369" s="377"/>
      <c r="QSX369" s="88"/>
      <c r="QSY369" s="88"/>
      <c r="QTA369" s="377"/>
      <c r="QTB369" s="88"/>
      <c r="QTC369" s="88"/>
      <c r="QTE369" s="377"/>
      <c r="QTF369" s="88"/>
      <c r="QTG369" s="88"/>
      <c r="QTI369" s="377"/>
      <c r="QTJ369" s="88"/>
      <c r="QTK369" s="88"/>
      <c r="QTM369" s="377"/>
      <c r="QTN369" s="88"/>
      <c r="QTO369" s="88"/>
      <c r="QTQ369" s="377"/>
      <c r="QTR369" s="88"/>
      <c r="QTS369" s="88"/>
      <c r="QTU369" s="377"/>
      <c r="QTV369" s="88"/>
      <c r="QTW369" s="88"/>
      <c r="QTY369" s="377"/>
      <c r="QTZ369" s="88"/>
      <c r="QUA369" s="88"/>
      <c r="QUC369" s="377"/>
      <c r="QUD369" s="88"/>
      <c r="QUE369" s="88"/>
      <c r="QUG369" s="377"/>
      <c r="QUH369" s="88"/>
      <c r="QUI369" s="88"/>
      <c r="QUK369" s="377"/>
      <c r="QUL369" s="88"/>
      <c r="QUM369" s="88"/>
      <c r="QUO369" s="377"/>
      <c r="QUP369" s="88"/>
      <c r="QUQ369" s="88"/>
      <c r="QUS369" s="377"/>
      <c r="QUT369" s="88"/>
      <c r="QUU369" s="88"/>
      <c r="QUW369" s="377"/>
      <c r="QUX369" s="88"/>
      <c r="QUY369" s="88"/>
      <c r="QVA369" s="377"/>
      <c r="QVB369" s="88"/>
      <c r="QVC369" s="88"/>
      <c r="QVE369" s="377"/>
      <c r="QVF369" s="88"/>
      <c r="QVG369" s="88"/>
      <c r="QVI369" s="377"/>
      <c r="QVJ369" s="88"/>
      <c r="QVK369" s="88"/>
      <c r="QVM369" s="377"/>
      <c r="QVN369" s="88"/>
      <c r="QVO369" s="88"/>
      <c r="QVQ369" s="377"/>
      <c r="QVR369" s="88"/>
      <c r="QVS369" s="88"/>
      <c r="QVU369" s="377"/>
      <c r="QVV369" s="88"/>
      <c r="QVW369" s="88"/>
      <c r="QVY369" s="377"/>
      <c r="QVZ369" s="88"/>
      <c r="QWA369" s="88"/>
      <c r="QWC369" s="377"/>
      <c r="QWD369" s="88"/>
      <c r="QWE369" s="88"/>
      <c r="QWG369" s="377"/>
      <c r="QWH369" s="88"/>
      <c r="QWI369" s="88"/>
      <c r="QWK369" s="377"/>
      <c r="QWL369" s="88"/>
      <c r="QWM369" s="88"/>
      <c r="QWO369" s="377"/>
      <c r="QWP369" s="88"/>
      <c r="QWQ369" s="88"/>
      <c r="QWS369" s="377"/>
      <c r="QWT369" s="88"/>
      <c r="QWU369" s="88"/>
      <c r="QWW369" s="377"/>
      <c r="QWX369" s="88"/>
      <c r="QWY369" s="88"/>
      <c r="QXA369" s="377"/>
      <c r="QXB369" s="88"/>
      <c r="QXC369" s="88"/>
      <c r="QXE369" s="377"/>
      <c r="QXF369" s="88"/>
      <c r="QXG369" s="88"/>
      <c r="QXI369" s="377"/>
      <c r="QXJ369" s="88"/>
      <c r="QXK369" s="88"/>
      <c r="QXM369" s="377"/>
      <c r="QXN369" s="88"/>
      <c r="QXO369" s="88"/>
      <c r="QXQ369" s="377"/>
      <c r="QXR369" s="88"/>
      <c r="QXS369" s="88"/>
      <c r="QXU369" s="377"/>
      <c r="QXV369" s="88"/>
      <c r="QXW369" s="88"/>
      <c r="QXY369" s="377"/>
      <c r="QXZ369" s="88"/>
      <c r="QYA369" s="88"/>
      <c r="QYC369" s="377"/>
      <c r="QYD369" s="88"/>
      <c r="QYE369" s="88"/>
      <c r="QYG369" s="377"/>
      <c r="QYH369" s="88"/>
      <c r="QYI369" s="88"/>
      <c r="QYK369" s="377"/>
      <c r="QYL369" s="88"/>
      <c r="QYM369" s="88"/>
      <c r="QYO369" s="377"/>
      <c r="QYP369" s="88"/>
      <c r="QYQ369" s="88"/>
      <c r="QYS369" s="377"/>
      <c r="QYT369" s="88"/>
      <c r="QYU369" s="88"/>
      <c r="QYW369" s="377"/>
      <c r="QYX369" s="88"/>
      <c r="QYY369" s="88"/>
      <c r="QZA369" s="377"/>
      <c r="QZB369" s="88"/>
      <c r="QZC369" s="88"/>
      <c r="QZE369" s="377"/>
      <c r="QZF369" s="88"/>
      <c r="QZG369" s="88"/>
      <c r="QZI369" s="377"/>
      <c r="QZJ369" s="88"/>
      <c r="QZK369" s="88"/>
      <c r="QZM369" s="377"/>
      <c r="QZN369" s="88"/>
      <c r="QZO369" s="88"/>
      <c r="QZQ369" s="377"/>
      <c r="QZR369" s="88"/>
      <c r="QZS369" s="88"/>
      <c r="QZU369" s="377"/>
      <c r="QZV369" s="88"/>
      <c r="QZW369" s="88"/>
      <c r="QZY369" s="377"/>
      <c r="QZZ369" s="88"/>
      <c r="RAA369" s="88"/>
      <c r="RAC369" s="377"/>
      <c r="RAD369" s="88"/>
      <c r="RAE369" s="88"/>
      <c r="RAG369" s="377"/>
      <c r="RAH369" s="88"/>
      <c r="RAI369" s="88"/>
      <c r="RAK369" s="377"/>
      <c r="RAL369" s="88"/>
      <c r="RAM369" s="88"/>
      <c r="RAO369" s="377"/>
      <c r="RAP369" s="88"/>
      <c r="RAQ369" s="88"/>
      <c r="RAS369" s="377"/>
      <c r="RAT369" s="88"/>
      <c r="RAU369" s="88"/>
      <c r="RAW369" s="377"/>
      <c r="RAX369" s="88"/>
      <c r="RAY369" s="88"/>
      <c r="RBA369" s="377"/>
      <c r="RBB369" s="88"/>
      <c r="RBC369" s="88"/>
      <c r="RBE369" s="377"/>
      <c r="RBF369" s="88"/>
      <c r="RBG369" s="88"/>
      <c r="RBI369" s="377"/>
      <c r="RBJ369" s="88"/>
      <c r="RBK369" s="88"/>
      <c r="RBM369" s="377"/>
      <c r="RBN369" s="88"/>
      <c r="RBO369" s="88"/>
      <c r="RBQ369" s="377"/>
      <c r="RBR369" s="88"/>
      <c r="RBS369" s="88"/>
      <c r="RBU369" s="377"/>
      <c r="RBV369" s="88"/>
      <c r="RBW369" s="88"/>
      <c r="RBY369" s="377"/>
      <c r="RBZ369" s="88"/>
      <c r="RCA369" s="88"/>
      <c r="RCC369" s="377"/>
      <c r="RCD369" s="88"/>
      <c r="RCE369" s="88"/>
      <c r="RCG369" s="377"/>
      <c r="RCH369" s="88"/>
      <c r="RCI369" s="88"/>
      <c r="RCK369" s="377"/>
      <c r="RCL369" s="88"/>
      <c r="RCM369" s="88"/>
      <c r="RCO369" s="377"/>
      <c r="RCP369" s="88"/>
      <c r="RCQ369" s="88"/>
      <c r="RCS369" s="377"/>
      <c r="RCT369" s="88"/>
      <c r="RCU369" s="88"/>
      <c r="RCW369" s="377"/>
      <c r="RCX369" s="88"/>
      <c r="RCY369" s="88"/>
      <c r="RDA369" s="377"/>
      <c r="RDB369" s="88"/>
      <c r="RDC369" s="88"/>
      <c r="RDE369" s="377"/>
      <c r="RDF369" s="88"/>
      <c r="RDG369" s="88"/>
      <c r="RDI369" s="377"/>
      <c r="RDJ369" s="88"/>
      <c r="RDK369" s="88"/>
      <c r="RDM369" s="377"/>
      <c r="RDN369" s="88"/>
      <c r="RDO369" s="88"/>
      <c r="RDQ369" s="377"/>
      <c r="RDR369" s="88"/>
      <c r="RDS369" s="88"/>
      <c r="RDU369" s="377"/>
      <c r="RDV369" s="88"/>
      <c r="RDW369" s="88"/>
      <c r="RDY369" s="377"/>
      <c r="RDZ369" s="88"/>
      <c r="REA369" s="88"/>
      <c r="REC369" s="377"/>
      <c r="RED369" s="88"/>
      <c r="REE369" s="88"/>
      <c r="REG369" s="377"/>
      <c r="REH369" s="88"/>
      <c r="REI369" s="88"/>
      <c r="REK369" s="377"/>
      <c r="REL369" s="88"/>
      <c r="REM369" s="88"/>
      <c r="REO369" s="377"/>
      <c r="REP369" s="88"/>
      <c r="REQ369" s="88"/>
      <c r="RES369" s="377"/>
      <c r="RET369" s="88"/>
      <c r="REU369" s="88"/>
      <c r="REW369" s="377"/>
      <c r="REX369" s="88"/>
      <c r="REY369" s="88"/>
      <c r="RFA369" s="377"/>
      <c r="RFB369" s="88"/>
      <c r="RFC369" s="88"/>
      <c r="RFE369" s="377"/>
      <c r="RFF369" s="88"/>
      <c r="RFG369" s="88"/>
      <c r="RFI369" s="377"/>
      <c r="RFJ369" s="88"/>
      <c r="RFK369" s="88"/>
      <c r="RFM369" s="377"/>
      <c r="RFN369" s="88"/>
      <c r="RFO369" s="88"/>
      <c r="RFQ369" s="377"/>
      <c r="RFR369" s="88"/>
      <c r="RFS369" s="88"/>
      <c r="RFU369" s="377"/>
      <c r="RFV369" s="88"/>
      <c r="RFW369" s="88"/>
      <c r="RFY369" s="377"/>
      <c r="RFZ369" s="88"/>
      <c r="RGA369" s="88"/>
      <c r="RGC369" s="377"/>
      <c r="RGD369" s="88"/>
      <c r="RGE369" s="88"/>
      <c r="RGG369" s="377"/>
      <c r="RGH369" s="88"/>
      <c r="RGI369" s="88"/>
      <c r="RGK369" s="377"/>
      <c r="RGL369" s="88"/>
      <c r="RGM369" s="88"/>
      <c r="RGO369" s="377"/>
      <c r="RGP369" s="88"/>
      <c r="RGQ369" s="88"/>
      <c r="RGS369" s="377"/>
      <c r="RGT369" s="88"/>
      <c r="RGU369" s="88"/>
      <c r="RGW369" s="377"/>
      <c r="RGX369" s="88"/>
      <c r="RGY369" s="88"/>
      <c r="RHA369" s="377"/>
      <c r="RHB369" s="88"/>
      <c r="RHC369" s="88"/>
      <c r="RHE369" s="377"/>
      <c r="RHF369" s="88"/>
      <c r="RHG369" s="88"/>
      <c r="RHI369" s="377"/>
      <c r="RHJ369" s="88"/>
      <c r="RHK369" s="88"/>
      <c r="RHM369" s="377"/>
      <c r="RHN369" s="88"/>
      <c r="RHO369" s="88"/>
      <c r="RHQ369" s="377"/>
      <c r="RHR369" s="88"/>
      <c r="RHS369" s="88"/>
      <c r="RHU369" s="377"/>
      <c r="RHV369" s="88"/>
      <c r="RHW369" s="88"/>
      <c r="RHY369" s="377"/>
      <c r="RHZ369" s="88"/>
      <c r="RIA369" s="88"/>
      <c r="RIC369" s="377"/>
      <c r="RID369" s="88"/>
      <c r="RIE369" s="88"/>
      <c r="RIG369" s="377"/>
      <c r="RIH369" s="88"/>
      <c r="RII369" s="88"/>
      <c r="RIK369" s="377"/>
      <c r="RIL369" s="88"/>
      <c r="RIM369" s="88"/>
      <c r="RIO369" s="377"/>
      <c r="RIP369" s="88"/>
      <c r="RIQ369" s="88"/>
      <c r="RIS369" s="377"/>
      <c r="RIT369" s="88"/>
      <c r="RIU369" s="88"/>
      <c r="RIW369" s="377"/>
      <c r="RIX369" s="88"/>
      <c r="RIY369" s="88"/>
      <c r="RJA369" s="377"/>
      <c r="RJB369" s="88"/>
      <c r="RJC369" s="88"/>
      <c r="RJE369" s="377"/>
      <c r="RJF369" s="88"/>
      <c r="RJG369" s="88"/>
      <c r="RJI369" s="377"/>
      <c r="RJJ369" s="88"/>
      <c r="RJK369" s="88"/>
      <c r="RJM369" s="377"/>
      <c r="RJN369" s="88"/>
      <c r="RJO369" s="88"/>
      <c r="RJQ369" s="377"/>
      <c r="RJR369" s="88"/>
      <c r="RJS369" s="88"/>
      <c r="RJU369" s="377"/>
      <c r="RJV369" s="88"/>
      <c r="RJW369" s="88"/>
      <c r="RJY369" s="377"/>
      <c r="RJZ369" s="88"/>
      <c r="RKA369" s="88"/>
      <c r="RKC369" s="377"/>
      <c r="RKD369" s="88"/>
      <c r="RKE369" s="88"/>
      <c r="RKG369" s="377"/>
      <c r="RKH369" s="88"/>
      <c r="RKI369" s="88"/>
      <c r="RKK369" s="377"/>
      <c r="RKL369" s="88"/>
      <c r="RKM369" s="88"/>
      <c r="RKO369" s="377"/>
      <c r="RKP369" s="88"/>
      <c r="RKQ369" s="88"/>
      <c r="RKS369" s="377"/>
      <c r="RKT369" s="88"/>
      <c r="RKU369" s="88"/>
      <c r="RKW369" s="377"/>
      <c r="RKX369" s="88"/>
      <c r="RKY369" s="88"/>
      <c r="RLA369" s="377"/>
      <c r="RLB369" s="88"/>
      <c r="RLC369" s="88"/>
      <c r="RLE369" s="377"/>
      <c r="RLF369" s="88"/>
      <c r="RLG369" s="88"/>
      <c r="RLI369" s="377"/>
      <c r="RLJ369" s="88"/>
      <c r="RLK369" s="88"/>
      <c r="RLM369" s="377"/>
      <c r="RLN369" s="88"/>
      <c r="RLO369" s="88"/>
      <c r="RLQ369" s="377"/>
      <c r="RLR369" s="88"/>
      <c r="RLS369" s="88"/>
      <c r="RLU369" s="377"/>
      <c r="RLV369" s="88"/>
      <c r="RLW369" s="88"/>
      <c r="RLY369" s="377"/>
      <c r="RLZ369" s="88"/>
      <c r="RMA369" s="88"/>
      <c r="RMC369" s="377"/>
      <c r="RMD369" s="88"/>
      <c r="RME369" s="88"/>
      <c r="RMG369" s="377"/>
      <c r="RMH369" s="88"/>
      <c r="RMI369" s="88"/>
      <c r="RMK369" s="377"/>
      <c r="RML369" s="88"/>
      <c r="RMM369" s="88"/>
      <c r="RMO369" s="377"/>
      <c r="RMP369" s="88"/>
      <c r="RMQ369" s="88"/>
      <c r="RMS369" s="377"/>
      <c r="RMT369" s="88"/>
      <c r="RMU369" s="88"/>
      <c r="RMW369" s="377"/>
      <c r="RMX369" s="88"/>
      <c r="RMY369" s="88"/>
      <c r="RNA369" s="377"/>
      <c r="RNB369" s="88"/>
      <c r="RNC369" s="88"/>
      <c r="RNE369" s="377"/>
      <c r="RNF369" s="88"/>
      <c r="RNG369" s="88"/>
      <c r="RNI369" s="377"/>
      <c r="RNJ369" s="88"/>
      <c r="RNK369" s="88"/>
      <c r="RNM369" s="377"/>
      <c r="RNN369" s="88"/>
      <c r="RNO369" s="88"/>
      <c r="RNQ369" s="377"/>
      <c r="RNR369" s="88"/>
      <c r="RNS369" s="88"/>
      <c r="RNU369" s="377"/>
      <c r="RNV369" s="88"/>
      <c r="RNW369" s="88"/>
      <c r="RNY369" s="377"/>
      <c r="RNZ369" s="88"/>
      <c r="ROA369" s="88"/>
      <c r="ROC369" s="377"/>
      <c r="ROD369" s="88"/>
      <c r="ROE369" s="88"/>
      <c r="ROG369" s="377"/>
      <c r="ROH369" s="88"/>
      <c r="ROI369" s="88"/>
      <c r="ROK369" s="377"/>
      <c r="ROL369" s="88"/>
      <c r="ROM369" s="88"/>
      <c r="ROO369" s="377"/>
      <c r="ROP369" s="88"/>
      <c r="ROQ369" s="88"/>
      <c r="ROS369" s="377"/>
      <c r="ROT369" s="88"/>
      <c r="ROU369" s="88"/>
      <c r="ROW369" s="377"/>
      <c r="ROX369" s="88"/>
      <c r="ROY369" s="88"/>
      <c r="RPA369" s="377"/>
      <c r="RPB369" s="88"/>
      <c r="RPC369" s="88"/>
      <c r="RPE369" s="377"/>
      <c r="RPF369" s="88"/>
      <c r="RPG369" s="88"/>
      <c r="RPI369" s="377"/>
      <c r="RPJ369" s="88"/>
      <c r="RPK369" s="88"/>
      <c r="RPM369" s="377"/>
      <c r="RPN369" s="88"/>
      <c r="RPO369" s="88"/>
      <c r="RPQ369" s="377"/>
      <c r="RPR369" s="88"/>
      <c r="RPS369" s="88"/>
      <c r="RPU369" s="377"/>
      <c r="RPV369" s="88"/>
      <c r="RPW369" s="88"/>
      <c r="RPY369" s="377"/>
      <c r="RPZ369" s="88"/>
      <c r="RQA369" s="88"/>
      <c r="RQC369" s="377"/>
      <c r="RQD369" s="88"/>
      <c r="RQE369" s="88"/>
      <c r="RQG369" s="377"/>
      <c r="RQH369" s="88"/>
      <c r="RQI369" s="88"/>
      <c r="RQK369" s="377"/>
      <c r="RQL369" s="88"/>
      <c r="RQM369" s="88"/>
      <c r="RQO369" s="377"/>
      <c r="RQP369" s="88"/>
      <c r="RQQ369" s="88"/>
      <c r="RQS369" s="377"/>
      <c r="RQT369" s="88"/>
      <c r="RQU369" s="88"/>
      <c r="RQW369" s="377"/>
      <c r="RQX369" s="88"/>
      <c r="RQY369" s="88"/>
      <c r="RRA369" s="377"/>
      <c r="RRB369" s="88"/>
      <c r="RRC369" s="88"/>
      <c r="RRE369" s="377"/>
      <c r="RRF369" s="88"/>
      <c r="RRG369" s="88"/>
      <c r="RRI369" s="377"/>
      <c r="RRJ369" s="88"/>
      <c r="RRK369" s="88"/>
      <c r="RRM369" s="377"/>
      <c r="RRN369" s="88"/>
      <c r="RRO369" s="88"/>
      <c r="RRQ369" s="377"/>
      <c r="RRR369" s="88"/>
      <c r="RRS369" s="88"/>
      <c r="RRU369" s="377"/>
      <c r="RRV369" s="88"/>
      <c r="RRW369" s="88"/>
      <c r="RRY369" s="377"/>
      <c r="RRZ369" s="88"/>
      <c r="RSA369" s="88"/>
      <c r="RSC369" s="377"/>
      <c r="RSD369" s="88"/>
      <c r="RSE369" s="88"/>
      <c r="RSG369" s="377"/>
      <c r="RSH369" s="88"/>
      <c r="RSI369" s="88"/>
      <c r="RSK369" s="377"/>
      <c r="RSL369" s="88"/>
      <c r="RSM369" s="88"/>
      <c r="RSO369" s="377"/>
      <c r="RSP369" s="88"/>
      <c r="RSQ369" s="88"/>
      <c r="RSS369" s="377"/>
      <c r="RST369" s="88"/>
      <c r="RSU369" s="88"/>
      <c r="RSW369" s="377"/>
      <c r="RSX369" s="88"/>
      <c r="RSY369" s="88"/>
      <c r="RTA369" s="377"/>
      <c r="RTB369" s="88"/>
      <c r="RTC369" s="88"/>
      <c r="RTE369" s="377"/>
      <c r="RTF369" s="88"/>
      <c r="RTG369" s="88"/>
      <c r="RTI369" s="377"/>
      <c r="RTJ369" s="88"/>
      <c r="RTK369" s="88"/>
      <c r="RTM369" s="377"/>
      <c r="RTN369" s="88"/>
      <c r="RTO369" s="88"/>
      <c r="RTQ369" s="377"/>
      <c r="RTR369" s="88"/>
      <c r="RTS369" s="88"/>
      <c r="RTU369" s="377"/>
      <c r="RTV369" s="88"/>
      <c r="RTW369" s="88"/>
      <c r="RTY369" s="377"/>
      <c r="RTZ369" s="88"/>
      <c r="RUA369" s="88"/>
      <c r="RUC369" s="377"/>
      <c r="RUD369" s="88"/>
      <c r="RUE369" s="88"/>
      <c r="RUG369" s="377"/>
      <c r="RUH369" s="88"/>
      <c r="RUI369" s="88"/>
      <c r="RUK369" s="377"/>
      <c r="RUL369" s="88"/>
      <c r="RUM369" s="88"/>
      <c r="RUO369" s="377"/>
      <c r="RUP369" s="88"/>
      <c r="RUQ369" s="88"/>
      <c r="RUS369" s="377"/>
      <c r="RUT369" s="88"/>
      <c r="RUU369" s="88"/>
      <c r="RUW369" s="377"/>
      <c r="RUX369" s="88"/>
      <c r="RUY369" s="88"/>
      <c r="RVA369" s="377"/>
      <c r="RVB369" s="88"/>
      <c r="RVC369" s="88"/>
      <c r="RVE369" s="377"/>
      <c r="RVF369" s="88"/>
      <c r="RVG369" s="88"/>
      <c r="RVI369" s="377"/>
      <c r="RVJ369" s="88"/>
      <c r="RVK369" s="88"/>
      <c r="RVM369" s="377"/>
      <c r="RVN369" s="88"/>
      <c r="RVO369" s="88"/>
      <c r="RVQ369" s="377"/>
      <c r="RVR369" s="88"/>
      <c r="RVS369" s="88"/>
      <c r="RVU369" s="377"/>
      <c r="RVV369" s="88"/>
      <c r="RVW369" s="88"/>
      <c r="RVY369" s="377"/>
      <c r="RVZ369" s="88"/>
      <c r="RWA369" s="88"/>
      <c r="RWC369" s="377"/>
      <c r="RWD369" s="88"/>
      <c r="RWE369" s="88"/>
      <c r="RWG369" s="377"/>
      <c r="RWH369" s="88"/>
      <c r="RWI369" s="88"/>
      <c r="RWK369" s="377"/>
      <c r="RWL369" s="88"/>
      <c r="RWM369" s="88"/>
      <c r="RWO369" s="377"/>
      <c r="RWP369" s="88"/>
      <c r="RWQ369" s="88"/>
      <c r="RWS369" s="377"/>
      <c r="RWT369" s="88"/>
      <c r="RWU369" s="88"/>
      <c r="RWW369" s="377"/>
      <c r="RWX369" s="88"/>
      <c r="RWY369" s="88"/>
      <c r="RXA369" s="377"/>
      <c r="RXB369" s="88"/>
      <c r="RXC369" s="88"/>
      <c r="RXE369" s="377"/>
      <c r="RXF369" s="88"/>
      <c r="RXG369" s="88"/>
      <c r="RXI369" s="377"/>
      <c r="RXJ369" s="88"/>
      <c r="RXK369" s="88"/>
      <c r="RXM369" s="377"/>
      <c r="RXN369" s="88"/>
      <c r="RXO369" s="88"/>
      <c r="RXQ369" s="377"/>
      <c r="RXR369" s="88"/>
      <c r="RXS369" s="88"/>
      <c r="RXU369" s="377"/>
      <c r="RXV369" s="88"/>
      <c r="RXW369" s="88"/>
      <c r="RXY369" s="377"/>
      <c r="RXZ369" s="88"/>
      <c r="RYA369" s="88"/>
      <c r="RYC369" s="377"/>
      <c r="RYD369" s="88"/>
      <c r="RYE369" s="88"/>
      <c r="RYG369" s="377"/>
      <c r="RYH369" s="88"/>
      <c r="RYI369" s="88"/>
      <c r="RYK369" s="377"/>
      <c r="RYL369" s="88"/>
      <c r="RYM369" s="88"/>
      <c r="RYO369" s="377"/>
      <c r="RYP369" s="88"/>
      <c r="RYQ369" s="88"/>
      <c r="RYS369" s="377"/>
      <c r="RYT369" s="88"/>
      <c r="RYU369" s="88"/>
      <c r="RYW369" s="377"/>
      <c r="RYX369" s="88"/>
      <c r="RYY369" s="88"/>
      <c r="RZA369" s="377"/>
      <c r="RZB369" s="88"/>
      <c r="RZC369" s="88"/>
      <c r="RZE369" s="377"/>
      <c r="RZF369" s="88"/>
      <c r="RZG369" s="88"/>
      <c r="RZI369" s="377"/>
      <c r="RZJ369" s="88"/>
      <c r="RZK369" s="88"/>
      <c r="RZM369" s="377"/>
      <c r="RZN369" s="88"/>
      <c r="RZO369" s="88"/>
      <c r="RZQ369" s="377"/>
      <c r="RZR369" s="88"/>
      <c r="RZS369" s="88"/>
      <c r="RZU369" s="377"/>
      <c r="RZV369" s="88"/>
      <c r="RZW369" s="88"/>
      <c r="RZY369" s="377"/>
      <c r="RZZ369" s="88"/>
      <c r="SAA369" s="88"/>
      <c r="SAC369" s="377"/>
      <c r="SAD369" s="88"/>
      <c r="SAE369" s="88"/>
      <c r="SAG369" s="377"/>
      <c r="SAH369" s="88"/>
      <c r="SAI369" s="88"/>
      <c r="SAK369" s="377"/>
      <c r="SAL369" s="88"/>
      <c r="SAM369" s="88"/>
      <c r="SAO369" s="377"/>
      <c r="SAP369" s="88"/>
      <c r="SAQ369" s="88"/>
      <c r="SAS369" s="377"/>
      <c r="SAT369" s="88"/>
      <c r="SAU369" s="88"/>
      <c r="SAW369" s="377"/>
      <c r="SAX369" s="88"/>
      <c r="SAY369" s="88"/>
      <c r="SBA369" s="377"/>
      <c r="SBB369" s="88"/>
      <c r="SBC369" s="88"/>
      <c r="SBE369" s="377"/>
      <c r="SBF369" s="88"/>
      <c r="SBG369" s="88"/>
      <c r="SBI369" s="377"/>
      <c r="SBJ369" s="88"/>
      <c r="SBK369" s="88"/>
      <c r="SBM369" s="377"/>
      <c r="SBN369" s="88"/>
      <c r="SBO369" s="88"/>
      <c r="SBQ369" s="377"/>
      <c r="SBR369" s="88"/>
      <c r="SBS369" s="88"/>
      <c r="SBU369" s="377"/>
      <c r="SBV369" s="88"/>
      <c r="SBW369" s="88"/>
      <c r="SBY369" s="377"/>
      <c r="SBZ369" s="88"/>
      <c r="SCA369" s="88"/>
      <c r="SCC369" s="377"/>
      <c r="SCD369" s="88"/>
      <c r="SCE369" s="88"/>
      <c r="SCG369" s="377"/>
      <c r="SCH369" s="88"/>
      <c r="SCI369" s="88"/>
      <c r="SCK369" s="377"/>
      <c r="SCL369" s="88"/>
      <c r="SCM369" s="88"/>
      <c r="SCO369" s="377"/>
      <c r="SCP369" s="88"/>
      <c r="SCQ369" s="88"/>
      <c r="SCS369" s="377"/>
      <c r="SCT369" s="88"/>
      <c r="SCU369" s="88"/>
      <c r="SCW369" s="377"/>
      <c r="SCX369" s="88"/>
      <c r="SCY369" s="88"/>
      <c r="SDA369" s="377"/>
      <c r="SDB369" s="88"/>
      <c r="SDC369" s="88"/>
      <c r="SDE369" s="377"/>
      <c r="SDF369" s="88"/>
      <c r="SDG369" s="88"/>
      <c r="SDI369" s="377"/>
      <c r="SDJ369" s="88"/>
      <c r="SDK369" s="88"/>
      <c r="SDM369" s="377"/>
      <c r="SDN369" s="88"/>
      <c r="SDO369" s="88"/>
      <c r="SDQ369" s="377"/>
      <c r="SDR369" s="88"/>
      <c r="SDS369" s="88"/>
      <c r="SDU369" s="377"/>
      <c r="SDV369" s="88"/>
      <c r="SDW369" s="88"/>
      <c r="SDY369" s="377"/>
      <c r="SDZ369" s="88"/>
      <c r="SEA369" s="88"/>
      <c r="SEC369" s="377"/>
      <c r="SED369" s="88"/>
      <c r="SEE369" s="88"/>
      <c r="SEG369" s="377"/>
      <c r="SEH369" s="88"/>
      <c r="SEI369" s="88"/>
      <c r="SEK369" s="377"/>
      <c r="SEL369" s="88"/>
      <c r="SEM369" s="88"/>
      <c r="SEO369" s="377"/>
      <c r="SEP369" s="88"/>
      <c r="SEQ369" s="88"/>
      <c r="SES369" s="377"/>
      <c r="SET369" s="88"/>
      <c r="SEU369" s="88"/>
      <c r="SEW369" s="377"/>
      <c r="SEX369" s="88"/>
      <c r="SEY369" s="88"/>
      <c r="SFA369" s="377"/>
      <c r="SFB369" s="88"/>
      <c r="SFC369" s="88"/>
      <c r="SFE369" s="377"/>
      <c r="SFF369" s="88"/>
      <c r="SFG369" s="88"/>
      <c r="SFI369" s="377"/>
      <c r="SFJ369" s="88"/>
      <c r="SFK369" s="88"/>
      <c r="SFM369" s="377"/>
      <c r="SFN369" s="88"/>
      <c r="SFO369" s="88"/>
      <c r="SFQ369" s="377"/>
      <c r="SFR369" s="88"/>
      <c r="SFS369" s="88"/>
      <c r="SFU369" s="377"/>
      <c r="SFV369" s="88"/>
      <c r="SFW369" s="88"/>
      <c r="SFY369" s="377"/>
      <c r="SFZ369" s="88"/>
      <c r="SGA369" s="88"/>
      <c r="SGC369" s="377"/>
      <c r="SGD369" s="88"/>
      <c r="SGE369" s="88"/>
      <c r="SGG369" s="377"/>
      <c r="SGH369" s="88"/>
      <c r="SGI369" s="88"/>
      <c r="SGK369" s="377"/>
      <c r="SGL369" s="88"/>
      <c r="SGM369" s="88"/>
      <c r="SGO369" s="377"/>
      <c r="SGP369" s="88"/>
      <c r="SGQ369" s="88"/>
      <c r="SGS369" s="377"/>
      <c r="SGT369" s="88"/>
      <c r="SGU369" s="88"/>
      <c r="SGW369" s="377"/>
      <c r="SGX369" s="88"/>
      <c r="SGY369" s="88"/>
      <c r="SHA369" s="377"/>
      <c r="SHB369" s="88"/>
      <c r="SHC369" s="88"/>
      <c r="SHE369" s="377"/>
      <c r="SHF369" s="88"/>
      <c r="SHG369" s="88"/>
      <c r="SHI369" s="377"/>
      <c r="SHJ369" s="88"/>
      <c r="SHK369" s="88"/>
      <c r="SHM369" s="377"/>
      <c r="SHN369" s="88"/>
      <c r="SHO369" s="88"/>
      <c r="SHQ369" s="377"/>
      <c r="SHR369" s="88"/>
      <c r="SHS369" s="88"/>
      <c r="SHU369" s="377"/>
      <c r="SHV369" s="88"/>
      <c r="SHW369" s="88"/>
      <c r="SHY369" s="377"/>
      <c r="SHZ369" s="88"/>
      <c r="SIA369" s="88"/>
      <c r="SIC369" s="377"/>
      <c r="SID369" s="88"/>
      <c r="SIE369" s="88"/>
      <c r="SIG369" s="377"/>
      <c r="SIH369" s="88"/>
      <c r="SII369" s="88"/>
      <c r="SIK369" s="377"/>
      <c r="SIL369" s="88"/>
      <c r="SIM369" s="88"/>
      <c r="SIO369" s="377"/>
      <c r="SIP369" s="88"/>
      <c r="SIQ369" s="88"/>
      <c r="SIS369" s="377"/>
      <c r="SIT369" s="88"/>
      <c r="SIU369" s="88"/>
      <c r="SIW369" s="377"/>
      <c r="SIX369" s="88"/>
      <c r="SIY369" s="88"/>
      <c r="SJA369" s="377"/>
      <c r="SJB369" s="88"/>
      <c r="SJC369" s="88"/>
      <c r="SJE369" s="377"/>
      <c r="SJF369" s="88"/>
      <c r="SJG369" s="88"/>
      <c r="SJI369" s="377"/>
      <c r="SJJ369" s="88"/>
      <c r="SJK369" s="88"/>
      <c r="SJM369" s="377"/>
      <c r="SJN369" s="88"/>
      <c r="SJO369" s="88"/>
      <c r="SJQ369" s="377"/>
      <c r="SJR369" s="88"/>
      <c r="SJS369" s="88"/>
      <c r="SJU369" s="377"/>
      <c r="SJV369" s="88"/>
      <c r="SJW369" s="88"/>
      <c r="SJY369" s="377"/>
      <c r="SJZ369" s="88"/>
      <c r="SKA369" s="88"/>
      <c r="SKC369" s="377"/>
      <c r="SKD369" s="88"/>
      <c r="SKE369" s="88"/>
      <c r="SKG369" s="377"/>
      <c r="SKH369" s="88"/>
      <c r="SKI369" s="88"/>
      <c r="SKK369" s="377"/>
      <c r="SKL369" s="88"/>
      <c r="SKM369" s="88"/>
      <c r="SKO369" s="377"/>
      <c r="SKP369" s="88"/>
      <c r="SKQ369" s="88"/>
      <c r="SKS369" s="377"/>
      <c r="SKT369" s="88"/>
      <c r="SKU369" s="88"/>
      <c r="SKW369" s="377"/>
      <c r="SKX369" s="88"/>
      <c r="SKY369" s="88"/>
      <c r="SLA369" s="377"/>
      <c r="SLB369" s="88"/>
      <c r="SLC369" s="88"/>
      <c r="SLE369" s="377"/>
      <c r="SLF369" s="88"/>
      <c r="SLG369" s="88"/>
      <c r="SLI369" s="377"/>
      <c r="SLJ369" s="88"/>
      <c r="SLK369" s="88"/>
      <c r="SLM369" s="377"/>
      <c r="SLN369" s="88"/>
      <c r="SLO369" s="88"/>
      <c r="SLQ369" s="377"/>
      <c r="SLR369" s="88"/>
      <c r="SLS369" s="88"/>
      <c r="SLU369" s="377"/>
      <c r="SLV369" s="88"/>
      <c r="SLW369" s="88"/>
      <c r="SLY369" s="377"/>
      <c r="SLZ369" s="88"/>
      <c r="SMA369" s="88"/>
      <c r="SMC369" s="377"/>
      <c r="SMD369" s="88"/>
      <c r="SME369" s="88"/>
      <c r="SMG369" s="377"/>
      <c r="SMH369" s="88"/>
      <c r="SMI369" s="88"/>
      <c r="SMK369" s="377"/>
      <c r="SML369" s="88"/>
      <c r="SMM369" s="88"/>
      <c r="SMO369" s="377"/>
      <c r="SMP369" s="88"/>
      <c r="SMQ369" s="88"/>
      <c r="SMS369" s="377"/>
      <c r="SMT369" s="88"/>
      <c r="SMU369" s="88"/>
      <c r="SMW369" s="377"/>
      <c r="SMX369" s="88"/>
      <c r="SMY369" s="88"/>
      <c r="SNA369" s="377"/>
      <c r="SNB369" s="88"/>
      <c r="SNC369" s="88"/>
      <c r="SNE369" s="377"/>
      <c r="SNF369" s="88"/>
      <c r="SNG369" s="88"/>
      <c r="SNI369" s="377"/>
      <c r="SNJ369" s="88"/>
      <c r="SNK369" s="88"/>
      <c r="SNM369" s="377"/>
      <c r="SNN369" s="88"/>
      <c r="SNO369" s="88"/>
      <c r="SNQ369" s="377"/>
      <c r="SNR369" s="88"/>
      <c r="SNS369" s="88"/>
      <c r="SNU369" s="377"/>
      <c r="SNV369" s="88"/>
      <c r="SNW369" s="88"/>
      <c r="SNY369" s="377"/>
      <c r="SNZ369" s="88"/>
      <c r="SOA369" s="88"/>
      <c r="SOC369" s="377"/>
      <c r="SOD369" s="88"/>
      <c r="SOE369" s="88"/>
      <c r="SOG369" s="377"/>
      <c r="SOH369" s="88"/>
      <c r="SOI369" s="88"/>
      <c r="SOK369" s="377"/>
      <c r="SOL369" s="88"/>
      <c r="SOM369" s="88"/>
      <c r="SOO369" s="377"/>
      <c r="SOP369" s="88"/>
      <c r="SOQ369" s="88"/>
      <c r="SOS369" s="377"/>
      <c r="SOT369" s="88"/>
      <c r="SOU369" s="88"/>
      <c r="SOW369" s="377"/>
      <c r="SOX369" s="88"/>
      <c r="SOY369" s="88"/>
      <c r="SPA369" s="377"/>
      <c r="SPB369" s="88"/>
      <c r="SPC369" s="88"/>
      <c r="SPE369" s="377"/>
      <c r="SPF369" s="88"/>
      <c r="SPG369" s="88"/>
      <c r="SPI369" s="377"/>
      <c r="SPJ369" s="88"/>
      <c r="SPK369" s="88"/>
      <c r="SPM369" s="377"/>
      <c r="SPN369" s="88"/>
      <c r="SPO369" s="88"/>
      <c r="SPQ369" s="377"/>
      <c r="SPR369" s="88"/>
      <c r="SPS369" s="88"/>
      <c r="SPU369" s="377"/>
      <c r="SPV369" s="88"/>
      <c r="SPW369" s="88"/>
      <c r="SPY369" s="377"/>
      <c r="SPZ369" s="88"/>
      <c r="SQA369" s="88"/>
      <c r="SQC369" s="377"/>
      <c r="SQD369" s="88"/>
      <c r="SQE369" s="88"/>
      <c r="SQG369" s="377"/>
      <c r="SQH369" s="88"/>
      <c r="SQI369" s="88"/>
      <c r="SQK369" s="377"/>
      <c r="SQL369" s="88"/>
      <c r="SQM369" s="88"/>
      <c r="SQO369" s="377"/>
      <c r="SQP369" s="88"/>
      <c r="SQQ369" s="88"/>
      <c r="SQS369" s="377"/>
      <c r="SQT369" s="88"/>
      <c r="SQU369" s="88"/>
      <c r="SQW369" s="377"/>
      <c r="SQX369" s="88"/>
      <c r="SQY369" s="88"/>
      <c r="SRA369" s="377"/>
      <c r="SRB369" s="88"/>
      <c r="SRC369" s="88"/>
      <c r="SRE369" s="377"/>
      <c r="SRF369" s="88"/>
      <c r="SRG369" s="88"/>
      <c r="SRI369" s="377"/>
      <c r="SRJ369" s="88"/>
      <c r="SRK369" s="88"/>
      <c r="SRM369" s="377"/>
      <c r="SRN369" s="88"/>
      <c r="SRO369" s="88"/>
      <c r="SRQ369" s="377"/>
      <c r="SRR369" s="88"/>
      <c r="SRS369" s="88"/>
      <c r="SRU369" s="377"/>
      <c r="SRV369" s="88"/>
      <c r="SRW369" s="88"/>
      <c r="SRY369" s="377"/>
      <c r="SRZ369" s="88"/>
      <c r="SSA369" s="88"/>
      <c r="SSC369" s="377"/>
      <c r="SSD369" s="88"/>
      <c r="SSE369" s="88"/>
      <c r="SSG369" s="377"/>
      <c r="SSH369" s="88"/>
      <c r="SSI369" s="88"/>
      <c r="SSK369" s="377"/>
      <c r="SSL369" s="88"/>
      <c r="SSM369" s="88"/>
      <c r="SSO369" s="377"/>
      <c r="SSP369" s="88"/>
      <c r="SSQ369" s="88"/>
      <c r="SSS369" s="377"/>
      <c r="SST369" s="88"/>
      <c r="SSU369" s="88"/>
      <c r="SSW369" s="377"/>
      <c r="SSX369" s="88"/>
      <c r="SSY369" s="88"/>
      <c r="STA369" s="377"/>
      <c r="STB369" s="88"/>
      <c r="STC369" s="88"/>
      <c r="STE369" s="377"/>
      <c r="STF369" s="88"/>
      <c r="STG369" s="88"/>
      <c r="STI369" s="377"/>
      <c r="STJ369" s="88"/>
      <c r="STK369" s="88"/>
      <c r="STM369" s="377"/>
      <c r="STN369" s="88"/>
      <c r="STO369" s="88"/>
      <c r="STQ369" s="377"/>
      <c r="STR369" s="88"/>
      <c r="STS369" s="88"/>
      <c r="STU369" s="377"/>
      <c r="STV369" s="88"/>
      <c r="STW369" s="88"/>
      <c r="STY369" s="377"/>
      <c r="STZ369" s="88"/>
      <c r="SUA369" s="88"/>
      <c r="SUC369" s="377"/>
      <c r="SUD369" s="88"/>
      <c r="SUE369" s="88"/>
      <c r="SUG369" s="377"/>
      <c r="SUH369" s="88"/>
      <c r="SUI369" s="88"/>
      <c r="SUK369" s="377"/>
      <c r="SUL369" s="88"/>
      <c r="SUM369" s="88"/>
      <c r="SUO369" s="377"/>
      <c r="SUP369" s="88"/>
      <c r="SUQ369" s="88"/>
      <c r="SUS369" s="377"/>
      <c r="SUT369" s="88"/>
      <c r="SUU369" s="88"/>
      <c r="SUW369" s="377"/>
      <c r="SUX369" s="88"/>
      <c r="SUY369" s="88"/>
      <c r="SVA369" s="377"/>
      <c r="SVB369" s="88"/>
      <c r="SVC369" s="88"/>
      <c r="SVE369" s="377"/>
      <c r="SVF369" s="88"/>
      <c r="SVG369" s="88"/>
      <c r="SVI369" s="377"/>
      <c r="SVJ369" s="88"/>
      <c r="SVK369" s="88"/>
      <c r="SVM369" s="377"/>
      <c r="SVN369" s="88"/>
      <c r="SVO369" s="88"/>
      <c r="SVQ369" s="377"/>
      <c r="SVR369" s="88"/>
      <c r="SVS369" s="88"/>
      <c r="SVU369" s="377"/>
      <c r="SVV369" s="88"/>
      <c r="SVW369" s="88"/>
      <c r="SVY369" s="377"/>
      <c r="SVZ369" s="88"/>
      <c r="SWA369" s="88"/>
      <c r="SWC369" s="377"/>
      <c r="SWD369" s="88"/>
      <c r="SWE369" s="88"/>
      <c r="SWG369" s="377"/>
      <c r="SWH369" s="88"/>
      <c r="SWI369" s="88"/>
      <c r="SWK369" s="377"/>
      <c r="SWL369" s="88"/>
      <c r="SWM369" s="88"/>
      <c r="SWO369" s="377"/>
      <c r="SWP369" s="88"/>
      <c r="SWQ369" s="88"/>
      <c r="SWS369" s="377"/>
      <c r="SWT369" s="88"/>
      <c r="SWU369" s="88"/>
      <c r="SWW369" s="377"/>
      <c r="SWX369" s="88"/>
      <c r="SWY369" s="88"/>
      <c r="SXA369" s="377"/>
      <c r="SXB369" s="88"/>
      <c r="SXC369" s="88"/>
      <c r="SXE369" s="377"/>
      <c r="SXF369" s="88"/>
      <c r="SXG369" s="88"/>
      <c r="SXI369" s="377"/>
      <c r="SXJ369" s="88"/>
      <c r="SXK369" s="88"/>
      <c r="SXM369" s="377"/>
      <c r="SXN369" s="88"/>
      <c r="SXO369" s="88"/>
      <c r="SXQ369" s="377"/>
      <c r="SXR369" s="88"/>
      <c r="SXS369" s="88"/>
      <c r="SXU369" s="377"/>
      <c r="SXV369" s="88"/>
      <c r="SXW369" s="88"/>
      <c r="SXY369" s="377"/>
      <c r="SXZ369" s="88"/>
      <c r="SYA369" s="88"/>
      <c r="SYC369" s="377"/>
      <c r="SYD369" s="88"/>
      <c r="SYE369" s="88"/>
      <c r="SYG369" s="377"/>
      <c r="SYH369" s="88"/>
      <c r="SYI369" s="88"/>
      <c r="SYK369" s="377"/>
      <c r="SYL369" s="88"/>
      <c r="SYM369" s="88"/>
      <c r="SYO369" s="377"/>
      <c r="SYP369" s="88"/>
      <c r="SYQ369" s="88"/>
      <c r="SYS369" s="377"/>
      <c r="SYT369" s="88"/>
      <c r="SYU369" s="88"/>
      <c r="SYW369" s="377"/>
      <c r="SYX369" s="88"/>
      <c r="SYY369" s="88"/>
      <c r="SZA369" s="377"/>
      <c r="SZB369" s="88"/>
      <c r="SZC369" s="88"/>
      <c r="SZE369" s="377"/>
      <c r="SZF369" s="88"/>
      <c r="SZG369" s="88"/>
      <c r="SZI369" s="377"/>
      <c r="SZJ369" s="88"/>
      <c r="SZK369" s="88"/>
      <c r="SZM369" s="377"/>
      <c r="SZN369" s="88"/>
      <c r="SZO369" s="88"/>
      <c r="SZQ369" s="377"/>
      <c r="SZR369" s="88"/>
      <c r="SZS369" s="88"/>
      <c r="SZU369" s="377"/>
      <c r="SZV369" s="88"/>
      <c r="SZW369" s="88"/>
      <c r="SZY369" s="377"/>
      <c r="SZZ369" s="88"/>
      <c r="TAA369" s="88"/>
      <c r="TAC369" s="377"/>
      <c r="TAD369" s="88"/>
      <c r="TAE369" s="88"/>
      <c r="TAG369" s="377"/>
      <c r="TAH369" s="88"/>
      <c r="TAI369" s="88"/>
      <c r="TAK369" s="377"/>
      <c r="TAL369" s="88"/>
      <c r="TAM369" s="88"/>
      <c r="TAO369" s="377"/>
      <c r="TAP369" s="88"/>
      <c r="TAQ369" s="88"/>
      <c r="TAS369" s="377"/>
      <c r="TAT369" s="88"/>
      <c r="TAU369" s="88"/>
      <c r="TAW369" s="377"/>
      <c r="TAX369" s="88"/>
      <c r="TAY369" s="88"/>
      <c r="TBA369" s="377"/>
      <c r="TBB369" s="88"/>
      <c r="TBC369" s="88"/>
      <c r="TBE369" s="377"/>
      <c r="TBF369" s="88"/>
      <c r="TBG369" s="88"/>
      <c r="TBI369" s="377"/>
      <c r="TBJ369" s="88"/>
      <c r="TBK369" s="88"/>
      <c r="TBM369" s="377"/>
      <c r="TBN369" s="88"/>
      <c r="TBO369" s="88"/>
      <c r="TBQ369" s="377"/>
      <c r="TBR369" s="88"/>
      <c r="TBS369" s="88"/>
      <c r="TBU369" s="377"/>
      <c r="TBV369" s="88"/>
      <c r="TBW369" s="88"/>
      <c r="TBY369" s="377"/>
      <c r="TBZ369" s="88"/>
      <c r="TCA369" s="88"/>
      <c r="TCC369" s="377"/>
      <c r="TCD369" s="88"/>
      <c r="TCE369" s="88"/>
      <c r="TCG369" s="377"/>
      <c r="TCH369" s="88"/>
      <c r="TCI369" s="88"/>
      <c r="TCK369" s="377"/>
      <c r="TCL369" s="88"/>
      <c r="TCM369" s="88"/>
      <c r="TCO369" s="377"/>
      <c r="TCP369" s="88"/>
      <c r="TCQ369" s="88"/>
      <c r="TCS369" s="377"/>
      <c r="TCT369" s="88"/>
      <c r="TCU369" s="88"/>
      <c r="TCW369" s="377"/>
      <c r="TCX369" s="88"/>
      <c r="TCY369" s="88"/>
      <c r="TDA369" s="377"/>
      <c r="TDB369" s="88"/>
      <c r="TDC369" s="88"/>
      <c r="TDE369" s="377"/>
      <c r="TDF369" s="88"/>
      <c r="TDG369" s="88"/>
      <c r="TDI369" s="377"/>
      <c r="TDJ369" s="88"/>
      <c r="TDK369" s="88"/>
      <c r="TDM369" s="377"/>
      <c r="TDN369" s="88"/>
      <c r="TDO369" s="88"/>
      <c r="TDQ369" s="377"/>
      <c r="TDR369" s="88"/>
      <c r="TDS369" s="88"/>
      <c r="TDU369" s="377"/>
      <c r="TDV369" s="88"/>
      <c r="TDW369" s="88"/>
      <c r="TDY369" s="377"/>
      <c r="TDZ369" s="88"/>
      <c r="TEA369" s="88"/>
      <c r="TEC369" s="377"/>
      <c r="TED369" s="88"/>
      <c r="TEE369" s="88"/>
      <c r="TEG369" s="377"/>
      <c r="TEH369" s="88"/>
      <c r="TEI369" s="88"/>
      <c r="TEK369" s="377"/>
      <c r="TEL369" s="88"/>
      <c r="TEM369" s="88"/>
      <c r="TEO369" s="377"/>
      <c r="TEP369" s="88"/>
      <c r="TEQ369" s="88"/>
      <c r="TES369" s="377"/>
      <c r="TET369" s="88"/>
      <c r="TEU369" s="88"/>
      <c r="TEW369" s="377"/>
      <c r="TEX369" s="88"/>
      <c r="TEY369" s="88"/>
      <c r="TFA369" s="377"/>
      <c r="TFB369" s="88"/>
      <c r="TFC369" s="88"/>
      <c r="TFE369" s="377"/>
      <c r="TFF369" s="88"/>
      <c r="TFG369" s="88"/>
      <c r="TFI369" s="377"/>
      <c r="TFJ369" s="88"/>
      <c r="TFK369" s="88"/>
      <c r="TFM369" s="377"/>
      <c r="TFN369" s="88"/>
      <c r="TFO369" s="88"/>
      <c r="TFQ369" s="377"/>
      <c r="TFR369" s="88"/>
      <c r="TFS369" s="88"/>
      <c r="TFU369" s="377"/>
      <c r="TFV369" s="88"/>
      <c r="TFW369" s="88"/>
      <c r="TFY369" s="377"/>
      <c r="TFZ369" s="88"/>
      <c r="TGA369" s="88"/>
      <c r="TGC369" s="377"/>
      <c r="TGD369" s="88"/>
      <c r="TGE369" s="88"/>
      <c r="TGG369" s="377"/>
      <c r="TGH369" s="88"/>
      <c r="TGI369" s="88"/>
      <c r="TGK369" s="377"/>
      <c r="TGL369" s="88"/>
      <c r="TGM369" s="88"/>
      <c r="TGO369" s="377"/>
      <c r="TGP369" s="88"/>
      <c r="TGQ369" s="88"/>
      <c r="TGS369" s="377"/>
      <c r="TGT369" s="88"/>
      <c r="TGU369" s="88"/>
      <c r="TGW369" s="377"/>
      <c r="TGX369" s="88"/>
      <c r="TGY369" s="88"/>
      <c r="THA369" s="377"/>
      <c r="THB369" s="88"/>
      <c r="THC369" s="88"/>
      <c r="THE369" s="377"/>
      <c r="THF369" s="88"/>
      <c r="THG369" s="88"/>
      <c r="THI369" s="377"/>
      <c r="THJ369" s="88"/>
      <c r="THK369" s="88"/>
      <c r="THM369" s="377"/>
      <c r="THN369" s="88"/>
      <c r="THO369" s="88"/>
      <c r="THQ369" s="377"/>
      <c r="THR369" s="88"/>
      <c r="THS369" s="88"/>
      <c r="THU369" s="377"/>
      <c r="THV369" s="88"/>
      <c r="THW369" s="88"/>
      <c r="THY369" s="377"/>
      <c r="THZ369" s="88"/>
      <c r="TIA369" s="88"/>
      <c r="TIC369" s="377"/>
      <c r="TID369" s="88"/>
      <c r="TIE369" s="88"/>
      <c r="TIG369" s="377"/>
      <c r="TIH369" s="88"/>
      <c r="TII369" s="88"/>
      <c r="TIK369" s="377"/>
      <c r="TIL369" s="88"/>
      <c r="TIM369" s="88"/>
      <c r="TIO369" s="377"/>
      <c r="TIP369" s="88"/>
      <c r="TIQ369" s="88"/>
      <c r="TIS369" s="377"/>
      <c r="TIT369" s="88"/>
      <c r="TIU369" s="88"/>
      <c r="TIW369" s="377"/>
      <c r="TIX369" s="88"/>
      <c r="TIY369" s="88"/>
      <c r="TJA369" s="377"/>
      <c r="TJB369" s="88"/>
      <c r="TJC369" s="88"/>
      <c r="TJE369" s="377"/>
      <c r="TJF369" s="88"/>
      <c r="TJG369" s="88"/>
      <c r="TJI369" s="377"/>
      <c r="TJJ369" s="88"/>
      <c r="TJK369" s="88"/>
      <c r="TJM369" s="377"/>
      <c r="TJN369" s="88"/>
      <c r="TJO369" s="88"/>
      <c r="TJQ369" s="377"/>
      <c r="TJR369" s="88"/>
      <c r="TJS369" s="88"/>
      <c r="TJU369" s="377"/>
      <c r="TJV369" s="88"/>
      <c r="TJW369" s="88"/>
      <c r="TJY369" s="377"/>
      <c r="TJZ369" s="88"/>
      <c r="TKA369" s="88"/>
      <c r="TKC369" s="377"/>
      <c r="TKD369" s="88"/>
      <c r="TKE369" s="88"/>
      <c r="TKG369" s="377"/>
      <c r="TKH369" s="88"/>
      <c r="TKI369" s="88"/>
      <c r="TKK369" s="377"/>
      <c r="TKL369" s="88"/>
      <c r="TKM369" s="88"/>
      <c r="TKO369" s="377"/>
      <c r="TKP369" s="88"/>
      <c r="TKQ369" s="88"/>
      <c r="TKS369" s="377"/>
      <c r="TKT369" s="88"/>
      <c r="TKU369" s="88"/>
      <c r="TKW369" s="377"/>
      <c r="TKX369" s="88"/>
      <c r="TKY369" s="88"/>
      <c r="TLA369" s="377"/>
      <c r="TLB369" s="88"/>
      <c r="TLC369" s="88"/>
      <c r="TLE369" s="377"/>
      <c r="TLF369" s="88"/>
      <c r="TLG369" s="88"/>
      <c r="TLI369" s="377"/>
      <c r="TLJ369" s="88"/>
      <c r="TLK369" s="88"/>
      <c r="TLM369" s="377"/>
      <c r="TLN369" s="88"/>
      <c r="TLO369" s="88"/>
      <c r="TLQ369" s="377"/>
      <c r="TLR369" s="88"/>
      <c r="TLS369" s="88"/>
      <c r="TLU369" s="377"/>
      <c r="TLV369" s="88"/>
      <c r="TLW369" s="88"/>
      <c r="TLY369" s="377"/>
      <c r="TLZ369" s="88"/>
      <c r="TMA369" s="88"/>
      <c r="TMC369" s="377"/>
      <c r="TMD369" s="88"/>
      <c r="TME369" s="88"/>
      <c r="TMG369" s="377"/>
      <c r="TMH369" s="88"/>
      <c r="TMI369" s="88"/>
      <c r="TMK369" s="377"/>
      <c r="TML369" s="88"/>
      <c r="TMM369" s="88"/>
      <c r="TMO369" s="377"/>
      <c r="TMP369" s="88"/>
      <c r="TMQ369" s="88"/>
      <c r="TMS369" s="377"/>
      <c r="TMT369" s="88"/>
      <c r="TMU369" s="88"/>
      <c r="TMW369" s="377"/>
      <c r="TMX369" s="88"/>
      <c r="TMY369" s="88"/>
      <c r="TNA369" s="377"/>
      <c r="TNB369" s="88"/>
      <c r="TNC369" s="88"/>
      <c r="TNE369" s="377"/>
      <c r="TNF369" s="88"/>
      <c r="TNG369" s="88"/>
      <c r="TNI369" s="377"/>
      <c r="TNJ369" s="88"/>
      <c r="TNK369" s="88"/>
      <c r="TNM369" s="377"/>
      <c r="TNN369" s="88"/>
      <c r="TNO369" s="88"/>
      <c r="TNQ369" s="377"/>
      <c r="TNR369" s="88"/>
      <c r="TNS369" s="88"/>
      <c r="TNU369" s="377"/>
      <c r="TNV369" s="88"/>
      <c r="TNW369" s="88"/>
      <c r="TNY369" s="377"/>
      <c r="TNZ369" s="88"/>
      <c r="TOA369" s="88"/>
      <c r="TOC369" s="377"/>
      <c r="TOD369" s="88"/>
      <c r="TOE369" s="88"/>
      <c r="TOG369" s="377"/>
      <c r="TOH369" s="88"/>
      <c r="TOI369" s="88"/>
      <c r="TOK369" s="377"/>
      <c r="TOL369" s="88"/>
      <c r="TOM369" s="88"/>
      <c r="TOO369" s="377"/>
      <c r="TOP369" s="88"/>
      <c r="TOQ369" s="88"/>
      <c r="TOS369" s="377"/>
      <c r="TOT369" s="88"/>
      <c r="TOU369" s="88"/>
      <c r="TOW369" s="377"/>
      <c r="TOX369" s="88"/>
      <c r="TOY369" s="88"/>
      <c r="TPA369" s="377"/>
      <c r="TPB369" s="88"/>
      <c r="TPC369" s="88"/>
      <c r="TPE369" s="377"/>
      <c r="TPF369" s="88"/>
      <c r="TPG369" s="88"/>
      <c r="TPI369" s="377"/>
      <c r="TPJ369" s="88"/>
      <c r="TPK369" s="88"/>
      <c r="TPM369" s="377"/>
      <c r="TPN369" s="88"/>
      <c r="TPO369" s="88"/>
      <c r="TPQ369" s="377"/>
      <c r="TPR369" s="88"/>
      <c r="TPS369" s="88"/>
      <c r="TPU369" s="377"/>
      <c r="TPV369" s="88"/>
      <c r="TPW369" s="88"/>
      <c r="TPY369" s="377"/>
      <c r="TPZ369" s="88"/>
      <c r="TQA369" s="88"/>
      <c r="TQC369" s="377"/>
      <c r="TQD369" s="88"/>
      <c r="TQE369" s="88"/>
      <c r="TQG369" s="377"/>
      <c r="TQH369" s="88"/>
      <c r="TQI369" s="88"/>
      <c r="TQK369" s="377"/>
      <c r="TQL369" s="88"/>
      <c r="TQM369" s="88"/>
      <c r="TQO369" s="377"/>
      <c r="TQP369" s="88"/>
      <c r="TQQ369" s="88"/>
      <c r="TQS369" s="377"/>
      <c r="TQT369" s="88"/>
      <c r="TQU369" s="88"/>
      <c r="TQW369" s="377"/>
      <c r="TQX369" s="88"/>
      <c r="TQY369" s="88"/>
      <c r="TRA369" s="377"/>
      <c r="TRB369" s="88"/>
      <c r="TRC369" s="88"/>
      <c r="TRE369" s="377"/>
      <c r="TRF369" s="88"/>
      <c r="TRG369" s="88"/>
      <c r="TRI369" s="377"/>
      <c r="TRJ369" s="88"/>
      <c r="TRK369" s="88"/>
      <c r="TRM369" s="377"/>
      <c r="TRN369" s="88"/>
      <c r="TRO369" s="88"/>
      <c r="TRQ369" s="377"/>
      <c r="TRR369" s="88"/>
      <c r="TRS369" s="88"/>
      <c r="TRU369" s="377"/>
      <c r="TRV369" s="88"/>
      <c r="TRW369" s="88"/>
      <c r="TRY369" s="377"/>
      <c r="TRZ369" s="88"/>
      <c r="TSA369" s="88"/>
      <c r="TSC369" s="377"/>
      <c r="TSD369" s="88"/>
      <c r="TSE369" s="88"/>
      <c r="TSG369" s="377"/>
      <c r="TSH369" s="88"/>
      <c r="TSI369" s="88"/>
      <c r="TSK369" s="377"/>
      <c r="TSL369" s="88"/>
      <c r="TSM369" s="88"/>
      <c r="TSO369" s="377"/>
      <c r="TSP369" s="88"/>
      <c r="TSQ369" s="88"/>
      <c r="TSS369" s="377"/>
      <c r="TST369" s="88"/>
      <c r="TSU369" s="88"/>
      <c r="TSW369" s="377"/>
      <c r="TSX369" s="88"/>
      <c r="TSY369" s="88"/>
      <c r="TTA369" s="377"/>
      <c r="TTB369" s="88"/>
      <c r="TTC369" s="88"/>
      <c r="TTE369" s="377"/>
      <c r="TTF369" s="88"/>
      <c r="TTG369" s="88"/>
      <c r="TTI369" s="377"/>
      <c r="TTJ369" s="88"/>
      <c r="TTK369" s="88"/>
      <c r="TTM369" s="377"/>
      <c r="TTN369" s="88"/>
      <c r="TTO369" s="88"/>
      <c r="TTQ369" s="377"/>
      <c r="TTR369" s="88"/>
      <c r="TTS369" s="88"/>
      <c r="TTU369" s="377"/>
      <c r="TTV369" s="88"/>
      <c r="TTW369" s="88"/>
      <c r="TTY369" s="377"/>
      <c r="TTZ369" s="88"/>
      <c r="TUA369" s="88"/>
      <c r="TUC369" s="377"/>
      <c r="TUD369" s="88"/>
      <c r="TUE369" s="88"/>
      <c r="TUG369" s="377"/>
      <c r="TUH369" s="88"/>
      <c r="TUI369" s="88"/>
      <c r="TUK369" s="377"/>
      <c r="TUL369" s="88"/>
      <c r="TUM369" s="88"/>
      <c r="TUO369" s="377"/>
      <c r="TUP369" s="88"/>
      <c r="TUQ369" s="88"/>
      <c r="TUS369" s="377"/>
      <c r="TUT369" s="88"/>
      <c r="TUU369" s="88"/>
      <c r="TUW369" s="377"/>
      <c r="TUX369" s="88"/>
      <c r="TUY369" s="88"/>
      <c r="TVA369" s="377"/>
      <c r="TVB369" s="88"/>
      <c r="TVC369" s="88"/>
      <c r="TVE369" s="377"/>
      <c r="TVF369" s="88"/>
      <c r="TVG369" s="88"/>
      <c r="TVI369" s="377"/>
      <c r="TVJ369" s="88"/>
      <c r="TVK369" s="88"/>
      <c r="TVM369" s="377"/>
      <c r="TVN369" s="88"/>
      <c r="TVO369" s="88"/>
      <c r="TVQ369" s="377"/>
      <c r="TVR369" s="88"/>
      <c r="TVS369" s="88"/>
      <c r="TVU369" s="377"/>
      <c r="TVV369" s="88"/>
      <c r="TVW369" s="88"/>
      <c r="TVY369" s="377"/>
      <c r="TVZ369" s="88"/>
      <c r="TWA369" s="88"/>
      <c r="TWC369" s="377"/>
      <c r="TWD369" s="88"/>
      <c r="TWE369" s="88"/>
      <c r="TWG369" s="377"/>
      <c r="TWH369" s="88"/>
      <c r="TWI369" s="88"/>
      <c r="TWK369" s="377"/>
      <c r="TWL369" s="88"/>
      <c r="TWM369" s="88"/>
      <c r="TWO369" s="377"/>
      <c r="TWP369" s="88"/>
      <c r="TWQ369" s="88"/>
      <c r="TWS369" s="377"/>
      <c r="TWT369" s="88"/>
      <c r="TWU369" s="88"/>
      <c r="TWW369" s="377"/>
      <c r="TWX369" s="88"/>
      <c r="TWY369" s="88"/>
      <c r="TXA369" s="377"/>
      <c r="TXB369" s="88"/>
      <c r="TXC369" s="88"/>
      <c r="TXE369" s="377"/>
      <c r="TXF369" s="88"/>
      <c r="TXG369" s="88"/>
      <c r="TXI369" s="377"/>
      <c r="TXJ369" s="88"/>
      <c r="TXK369" s="88"/>
      <c r="TXM369" s="377"/>
      <c r="TXN369" s="88"/>
      <c r="TXO369" s="88"/>
      <c r="TXQ369" s="377"/>
      <c r="TXR369" s="88"/>
      <c r="TXS369" s="88"/>
      <c r="TXU369" s="377"/>
      <c r="TXV369" s="88"/>
      <c r="TXW369" s="88"/>
      <c r="TXY369" s="377"/>
      <c r="TXZ369" s="88"/>
      <c r="TYA369" s="88"/>
      <c r="TYC369" s="377"/>
      <c r="TYD369" s="88"/>
      <c r="TYE369" s="88"/>
      <c r="TYG369" s="377"/>
      <c r="TYH369" s="88"/>
      <c r="TYI369" s="88"/>
      <c r="TYK369" s="377"/>
      <c r="TYL369" s="88"/>
      <c r="TYM369" s="88"/>
      <c r="TYO369" s="377"/>
      <c r="TYP369" s="88"/>
      <c r="TYQ369" s="88"/>
      <c r="TYS369" s="377"/>
      <c r="TYT369" s="88"/>
      <c r="TYU369" s="88"/>
      <c r="TYW369" s="377"/>
      <c r="TYX369" s="88"/>
      <c r="TYY369" s="88"/>
      <c r="TZA369" s="377"/>
      <c r="TZB369" s="88"/>
      <c r="TZC369" s="88"/>
      <c r="TZE369" s="377"/>
      <c r="TZF369" s="88"/>
      <c r="TZG369" s="88"/>
      <c r="TZI369" s="377"/>
      <c r="TZJ369" s="88"/>
      <c r="TZK369" s="88"/>
      <c r="TZM369" s="377"/>
      <c r="TZN369" s="88"/>
      <c r="TZO369" s="88"/>
      <c r="TZQ369" s="377"/>
      <c r="TZR369" s="88"/>
      <c r="TZS369" s="88"/>
      <c r="TZU369" s="377"/>
      <c r="TZV369" s="88"/>
      <c r="TZW369" s="88"/>
      <c r="TZY369" s="377"/>
      <c r="TZZ369" s="88"/>
      <c r="UAA369" s="88"/>
      <c r="UAC369" s="377"/>
      <c r="UAD369" s="88"/>
      <c r="UAE369" s="88"/>
      <c r="UAG369" s="377"/>
      <c r="UAH369" s="88"/>
      <c r="UAI369" s="88"/>
      <c r="UAK369" s="377"/>
      <c r="UAL369" s="88"/>
      <c r="UAM369" s="88"/>
      <c r="UAO369" s="377"/>
      <c r="UAP369" s="88"/>
      <c r="UAQ369" s="88"/>
      <c r="UAS369" s="377"/>
      <c r="UAT369" s="88"/>
      <c r="UAU369" s="88"/>
      <c r="UAW369" s="377"/>
      <c r="UAX369" s="88"/>
      <c r="UAY369" s="88"/>
      <c r="UBA369" s="377"/>
      <c r="UBB369" s="88"/>
      <c r="UBC369" s="88"/>
      <c r="UBE369" s="377"/>
      <c r="UBF369" s="88"/>
      <c r="UBG369" s="88"/>
      <c r="UBI369" s="377"/>
      <c r="UBJ369" s="88"/>
      <c r="UBK369" s="88"/>
      <c r="UBM369" s="377"/>
      <c r="UBN369" s="88"/>
      <c r="UBO369" s="88"/>
      <c r="UBQ369" s="377"/>
      <c r="UBR369" s="88"/>
      <c r="UBS369" s="88"/>
      <c r="UBU369" s="377"/>
      <c r="UBV369" s="88"/>
      <c r="UBW369" s="88"/>
      <c r="UBY369" s="377"/>
      <c r="UBZ369" s="88"/>
      <c r="UCA369" s="88"/>
      <c r="UCC369" s="377"/>
      <c r="UCD369" s="88"/>
      <c r="UCE369" s="88"/>
      <c r="UCG369" s="377"/>
      <c r="UCH369" s="88"/>
      <c r="UCI369" s="88"/>
      <c r="UCK369" s="377"/>
      <c r="UCL369" s="88"/>
      <c r="UCM369" s="88"/>
      <c r="UCO369" s="377"/>
      <c r="UCP369" s="88"/>
      <c r="UCQ369" s="88"/>
      <c r="UCS369" s="377"/>
      <c r="UCT369" s="88"/>
      <c r="UCU369" s="88"/>
      <c r="UCW369" s="377"/>
      <c r="UCX369" s="88"/>
      <c r="UCY369" s="88"/>
      <c r="UDA369" s="377"/>
      <c r="UDB369" s="88"/>
      <c r="UDC369" s="88"/>
      <c r="UDE369" s="377"/>
      <c r="UDF369" s="88"/>
      <c r="UDG369" s="88"/>
      <c r="UDI369" s="377"/>
      <c r="UDJ369" s="88"/>
      <c r="UDK369" s="88"/>
      <c r="UDM369" s="377"/>
      <c r="UDN369" s="88"/>
      <c r="UDO369" s="88"/>
      <c r="UDQ369" s="377"/>
      <c r="UDR369" s="88"/>
      <c r="UDS369" s="88"/>
      <c r="UDU369" s="377"/>
      <c r="UDV369" s="88"/>
      <c r="UDW369" s="88"/>
      <c r="UDY369" s="377"/>
      <c r="UDZ369" s="88"/>
      <c r="UEA369" s="88"/>
      <c r="UEC369" s="377"/>
      <c r="UED369" s="88"/>
      <c r="UEE369" s="88"/>
      <c r="UEG369" s="377"/>
      <c r="UEH369" s="88"/>
      <c r="UEI369" s="88"/>
      <c r="UEK369" s="377"/>
      <c r="UEL369" s="88"/>
      <c r="UEM369" s="88"/>
      <c r="UEO369" s="377"/>
      <c r="UEP369" s="88"/>
      <c r="UEQ369" s="88"/>
      <c r="UES369" s="377"/>
      <c r="UET369" s="88"/>
      <c r="UEU369" s="88"/>
      <c r="UEW369" s="377"/>
      <c r="UEX369" s="88"/>
      <c r="UEY369" s="88"/>
      <c r="UFA369" s="377"/>
      <c r="UFB369" s="88"/>
      <c r="UFC369" s="88"/>
      <c r="UFE369" s="377"/>
      <c r="UFF369" s="88"/>
      <c r="UFG369" s="88"/>
      <c r="UFI369" s="377"/>
      <c r="UFJ369" s="88"/>
      <c r="UFK369" s="88"/>
      <c r="UFM369" s="377"/>
      <c r="UFN369" s="88"/>
      <c r="UFO369" s="88"/>
      <c r="UFQ369" s="377"/>
      <c r="UFR369" s="88"/>
      <c r="UFS369" s="88"/>
      <c r="UFU369" s="377"/>
      <c r="UFV369" s="88"/>
      <c r="UFW369" s="88"/>
      <c r="UFY369" s="377"/>
      <c r="UFZ369" s="88"/>
      <c r="UGA369" s="88"/>
      <c r="UGC369" s="377"/>
      <c r="UGD369" s="88"/>
      <c r="UGE369" s="88"/>
      <c r="UGG369" s="377"/>
      <c r="UGH369" s="88"/>
      <c r="UGI369" s="88"/>
      <c r="UGK369" s="377"/>
      <c r="UGL369" s="88"/>
      <c r="UGM369" s="88"/>
      <c r="UGO369" s="377"/>
      <c r="UGP369" s="88"/>
      <c r="UGQ369" s="88"/>
      <c r="UGS369" s="377"/>
      <c r="UGT369" s="88"/>
      <c r="UGU369" s="88"/>
      <c r="UGW369" s="377"/>
      <c r="UGX369" s="88"/>
      <c r="UGY369" s="88"/>
      <c r="UHA369" s="377"/>
      <c r="UHB369" s="88"/>
      <c r="UHC369" s="88"/>
      <c r="UHE369" s="377"/>
      <c r="UHF369" s="88"/>
      <c r="UHG369" s="88"/>
      <c r="UHI369" s="377"/>
      <c r="UHJ369" s="88"/>
      <c r="UHK369" s="88"/>
      <c r="UHM369" s="377"/>
      <c r="UHN369" s="88"/>
      <c r="UHO369" s="88"/>
      <c r="UHQ369" s="377"/>
      <c r="UHR369" s="88"/>
      <c r="UHS369" s="88"/>
      <c r="UHU369" s="377"/>
      <c r="UHV369" s="88"/>
      <c r="UHW369" s="88"/>
      <c r="UHY369" s="377"/>
      <c r="UHZ369" s="88"/>
      <c r="UIA369" s="88"/>
      <c r="UIC369" s="377"/>
      <c r="UID369" s="88"/>
      <c r="UIE369" s="88"/>
      <c r="UIG369" s="377"/>
      <c r="UIH369" s="88"/>
      <c r="UII369" s="88"/>
      <c r="UIK369" s="377"/>
      <c r="UIL369" s="88"/>
      <c r="UIM369" s="88"/>
      <c r="UIO369" s="377"/>
      <c r="UIP369" s="88"/>
      <c r="UIQ369" s="88"/>
      <c r="UIS369" s="377"/>
      <c r="UIT369" s="88"/>
      <c r="UIU369" s="88"/>
      <c r="UIW369" s="377"/>
      <c r="UIX369" s="88"/>
      <c r="UIY369" s="88"/>
      <c r="UJA369" s="377"/>
      <c r="UJB369" s="88"/>
      <c r="UJC369" s="88"/>
      <c r="UJE369" s="377"/>
      <c r="UJF369" s="88"/>
      <c r="UJG369" s="88"/>
      <c r="UJI369" s="377"/>
      <c r="UJJ369" s="88"/>
      <c r="UJK369" s="88"/>
      <c r="UJM369" s="377"/>
      <c r="UJN369" s="88"/>
      <c r="UJO369" s="88"/>
      <c r="UJQ369" s="377"/>
      <c r="UJR369" s="88"/>
      <c r="UJS369" s="88"/>
      <c r="UJU369" s="377"/>
      <c r="UJV369" s="88"/>
      <c r="UJW369" s="88"/>
      <c r="UJY369" s="377"/>
      <c r="UJZ369" s="88"/>
      <c r="UKA369" s="88"/>
      <c r="UKC369" s="377"/>
      <c r="UKD369" s="88"/>
      <c r="UKE369" s="88"/>
      <c r="UKG369" s="377"/>
      <c r="UKH369" s="88"/>
      <c r="UKI369" s="88"/>
      <c r="UKK369" s="377"/>
      <c r="UKL369" s="88"/>
      <c r="UKM369" s="88"/>
      <c r="UKO369" s="377"/>
      <c r="UKP369" s="88"/>
      <c r="UKQ369" s="88"/>
      <c r="UKS369" s="377"/>
      <c r="UKT369" s="88"/>
      <c r="UKU369" s="88"/>
      <c r="UKW369" s="377"/>
      <c r="UKX369" s="88"/>
      <c r="UKY369" s="88"/>
      <c r="ULA369" s="377"/>
      <c r="ULB369" s="88"/>
      <c r="ULC369" s="88"/>
      <c r="ULE369" s="377"/>
      <c r="ULF369" s="88"/>
      <c r="ULG369" s="88"/>
      <c r="ULI369" s="377"/>
      <c r="ULJ369" s="88"/>
      <c r="ULK369" s="88"/>
      <c r="ULM369" s="377"/>
      <c r="ULN369" s="88"/>
      <c r="ULO369" s="88"/>
      <c r="ULQ369" s="377"/>
      <c r="ULR369" s="88"/>
      <c r="ULS369" s="88"/>
      <c r="ULU369" s="377"/>
      <c r="ULV369" s="88"/>
      <c r="ULW369" s="88"/>
      <c r="ULY369" s="377"/>
      <c r="ULZ369" s="88"/>
      <c r="UMA369" s="88"/>
      <c r="UMC369" s="377"/>
      <c r="UMD369" s="88"/>
      <c r="UME369" s="88"/>
      <c r="UMG369" s="377"/>
      <c r="UMH369" s="88"/>
      <c r="UMI369" s="88"/>
      <c r="UMK369" s="377"/>
      <c r="UML369" s="88"/>
      <c r="UMM369" s="88"/>
      <c r="UMO369" s="377"/>
      <c r="UMP369" s="88"/>
      <c r="UMQ369" s="88"/>
      <c r="UMS369" s="377"/>
      <c r="UMT369" s="88"/>
      <c r="UMU369" s="88"/>
      <c r="UMW369" s="377"/>
      <c r="UMX369" s="88"/>
      <c r="UMY369" s="88"/>
      <c r="UNA369" s="377"/>
      <c r="UNB369" s="88"/>
      <c r="UNC369" s="88"/>
      <c r="UNE369" s="377"/>
      <c r="UNF369" s="88"/>
      <c r="UNG369" s="88"/>
      <c r="UNI369" s="377"/>
      <c r="UNJ369" s="88"/>
      <c r="UNK369" s="88"/>
      <c r="UNM369" s="377"/>
      <c r="UNN369" s="88"/>
      <c r="UNO369" s="88"/>
      <c r="UNQ369" s="377"/>
      <c r="UNR369" s="88"/>
      <c r="UNS369" s="88"/>
      <c r="UNU369" s="377"/>
      <c r="UNV369" s="88"/>
      <c r="UNW369" s="88"/>
      <c r="UNY369" s="377"/>
      <c r="UNZ369" s="88"/>
      <c r="UOA369" s="88"/>
      <c r="UOC369" s="377"/>
      <c r="UOD369" s="88"/>
      <c r="UOE369" s="88"/>
      <c r="UOG369" s="377"/>
      <c r="UOH369" s="88"/>
      <c r="UOI369" s="88"/>
      <c r="UOK369" s="377"/>
      <c r="UOL369" s="88"/>
      <c r="UOM369" s="88"/>
      <c r="UOO369" s="377"/>
      <c r="UOP369" s="88"/>
      <c r="UOQ369" s="88"/>
      <c r="UOS369" s="377"/>
      <c r="UOT369" s="88"/>
      <c r="UOU369" s="88"/>
      <c r="UOW369" s="377"/>
      <c r="UOX369" s="88"/>
      <c r="UOY369" s="88"/>
      <c r="UPA369" s="377"/>
      <c r="UPB369" s="88"/>
      <c r="UPC369" s="88"/>
      <c r="UPE369" s="377"/>
      <c r="UPF369" s="88"/>
      <c r="UPG369" s="88"/>
      <c r="UPI369" s="377"/>
      <c r="UPJ369" s="88"/>
      <c r="UPK369" s="88"/>
      <c r="UPM369" s="377"/>
      <c r="UPN369" s="88"/>
      <c r="UPO369" s="88"/>
      <c r="UPQ369" s="377"/>
      <c r="UPR369" s="88"/>
      <c r="UPS369" s="88"/>
      <c r="UPU369" s="377"/>
      <c r="UPV369" s="88"/>
      <c r="UPW369" s="88"/>
      <c r="UPY369" s="377"/>
      <c r="UPZ369" s="88"/>
      <c r="UQA369" s="88"/>
      <c r="UQC369" s="377"/>
      <c r="UQD369" s="88"/>
      <c r="UQE369" s="88"/>
      <c r="UQG369" s="377"/>
      <c r="UQH369" s="88"/>
      <c r="UQI369" s="88"/>
      <c r="UQK369" s="377"/>
      <c r="UQL369" s="88"/>
      <c r="UQM369" s="88"/>
      <c r="UQO369" s="377"/>
      <c r="UQP369" s="88"/>
      <c r="UQQ369" s="88"/>
      <c r="UQS369" s="377"/>
      <c r="UQT369" s="88"/>
      <c r="UQU369" s="88"/>
      <c r="UQW369" s="377"/>
      <c r="UQX369" s="88"/>
      <c r="UQY369" s="88"/>
      <c r="URA369" s="377"/>
      <c r="URB369" s="88"/>
      <c r="URC369" s="88"/>
      <c r="URE369" s="377"/>
      <c r="URF369" s="88"/>
      <c r="URG369" s="88"/>
      <c r="URI369" s="377"/>
      <c r="URJ369" s="88"/>
      <c r="URK369" s="88"/>
      <c r="URM369" s="377"/>
      <c r="URN369" s="88"/>
      <c r="URO369" s="88"/>
      <c r="URQ369" s="377"/>
      <c r="URR369" s="88"/>
      <c r="URS369" s="88"/>
      <c r="URU369" s="377"/>
      <c r="URV369" s="88"/>
      <c r="URW369" s="88"/>
      <c r="URY369" s="377"/>
      <c r="URZ369" s="88"/>
      <c r="USA369" s="88"/>
      <c r="USC369" s="377"/>
      <c r="USD369" s="88"/>
      <c r="USE369" s="88"/>
      <c r="USG369" s="377"/>
      <c r="USH369" s="88"/>
      <c r="USI369" s="88"/>
      <c r="USK369" s="377"/>
      <c r="USL369" s="88"/>
      <c r="USM369" s="88"/>
      <c r="USO369" s="377"/>
      <c r="USP369" s="88"/>
      <c r="USQ369" s="88"/>
      <c r="USS369" s="377"/>
      <c r="UST369" s="88"/>
      <c r="USU369" s="88"/>
      <c r="USW369" s="377"/>
      <c r="USX369" s="88"/>
      <c r="USY369" s="88"/>
      <c r="UTA369" s="377"/>
      <c r="UTB369" s="88"/>
      <c r="UTC369" s="88"/>
      <c r="UTE369" s="377"/>
      <c r="UTF369" s="88"/>
      <c r="UTG369" s="88"/>
      <c r="UTI369" s="377"/>
      <c r="UTJ369" s="88"/>
      <c r="UTK369" s="88"/>
      <c r="UTM369" s="377"/>
      <c r="UTN369" s="88"/>
      <c r="UTO369" s="88"/>
      <c r="UTQ369" s="377"/>
      <c r="UTR369" s="88"/>
      <c r="UTS369" s="88"/>
      <c r="UTU369" s="377"/>
      <c r="UTV369" s="88"/>
      <c r="UTW369" s="88"/>
      <c r="UTY369" s="377"/>
      <c r="UTZ369" s="88"/>
      <c r="UUA369" s="88"/>
      <c r="UUC369" s="377"/>
      <c r="UUD369" s="88"/>
      <c r="UUE369" s="88"/>
      <c r="UUG369" s="377"/>
      <c r="UUH369" s="88"/>
      <c r="UUI369" s="88"/>
      <c r="UUK369" s="377"/>
      <c r="UUL369" s="88"/>
      <c r="UUM369" s="88"/>
      <c r="UUO369" s="377"/>
      <c r="UUP369" s="88"/>
      <c r="UUQ369" s="88"/>
      <c r="UUS369" s="377"/>
      <c r="UUT369" s="88"/>
      <c r="UUU369" s="88"/>
      <c r="UUW369" s="377"/>
      <c r="UUX369" s="88"/>
      <c r="UUY369" s="88"/>
      <c r="UVA369" s="377"/>
      <c r="UVB369" s="88"/>
      <c r="UVC369" s="88"/>
      <c r="UVE369" s="377"/>
      <c r="UVF369" s="88"/>
      <c r="UVG369" s="88"/>
      <c r="UVI369" s="377"/>
      <c r="UVJ369" s="88"/>
      <c r="UVK369" s="88"/>
      <c r="UVM369" s="377"/>
      <c r="UVN369" s="88"/>
      <c r="UVO369" s="88"/>
      <c r="UVQ369" s="377"/>
      <c r="UVR369" s="88"/>
      <c r="UVS369" s="88"/>
      <c r="UVU369" s="377"/>
      <c r="UVV369" s="88"/>
      <c r="UVW369" s="88"/>
      <c r="UVY369" s="377"/>
      <c r="UVZ369" s="88"/>
      <c r="UWA369" s="88"/>
      <c r="UWC369" s="377"/>
      <c r="UWD369" s="88"/>
      <c r="UWE369" s="88"/>
      <c r="UWG369" s="377"/>
      <c r="UWH369" s="88"/>
      <c r="UWI369" s="88"/>
      <c r="UWK369" s="377"/>
      <c r="UWL369" s="88"/>
      <c r="UWM369" s="88"/>
      <c r="UWO369" s="377"/>
      <c r="UWP369" s="88"/>
      <c r="UWQ369" s="88"/>
      <c r="UWS369" s="377"/>
      <c r="UWT369" s="88"/>
      <c r="UWU369" s="88"/>
      <c r="UWW369" s="377"/>
      <c r="UWX369" s="88"/>
      <c r="UWY369" s="88"/>
      <c r="UXA369" s="377"/>
      <c r="UXB369" s="88"/>
      <c r="UXC369" s="88"/>
      <c r="UXE369" s="377"/>
      <c r="UXF369" s="88"/>
      <c r="UXG369" s="88"/>
      <c r="UXI369" s="377"/>
      <c r="UXJ369" s="88"/>
      <c r="UXK369" s="88"/>
      <c r="UXM369" s="377"/>
      <c r="UXN369" s="88"/>
      <c r="UXO369" s="88"/>
      <c r="UXQ369" s="377"/>
      <c r="UXR369" s="88"/>
      <c r="UXS369" s="88"/>
      <c r="UXU369" s="377"/>
      <c r="UXV369" s="88"/>
      <c r="UXW369" s="88"/>
      <c r="UXY369" s="377"/>
      <c r="UXZ369" s="88"/>
      <c r="UYA369" s="88"/>
      <c r="UYC369" s="377"/>
      <c r="UYD369" s="88"/>
      <c r="UYE369" s="88"/>
      <c r="UYG369" s="377"/>
      <c r="UYH369" s="88"/>
      <c r="UYI369" s="88"/>
      <c r="UYK369" s="377"/>
      <c r="UYL369" s="88"/>
      <c r="UYM369" s="88"/>
      <c r="UYO369" s="377"/>
      <c r="UYP369" s="88"/>
      <c r="UYQ369" s="88"/>
      <c r="UYS369" s="377"/>
      <c r="UYT369" s="88"/>
      <c r="UYU369" s="88"/>
      <c r="UYW369" s="377"/>
      <c r="UYX369" s="88"/>
      <c r="UYY369" s="88"/>
      <c r="UZA369" s="377"/>
      <c r="UZB369" s="88"/>
      <c r="UZC369" s="88"/>
      <c r="UZE369" s="377"/>
      <c r="UZF369" s="88"/>
      <c r="UZG369" s="88"/>
      <c r="UZI369" s="377"/>
      <c r="UZJ369" s="88"/>
      <c r="UZK369" s="88"/>
      <c r="UZM369" s="377"/>
      <c r="UZN369" s="88"/>
      <c r="UZO369" s="88"/>
      <c r="UZQ369" s="377"/>
      <c r="UZR369" s="88"/>
      <c r="UZS369" s="88"/>
      <c r="UZU369" s="377"/>
      <c r="UZV369" s="88"/>
      <c r="UZW369" s="88"/>
      <c r="UZY369" s="377"/>
      <c r="UZZ369" s="88"/>
      <c r="VAA369" s="88"/>
      <c r="VAC369" s="377"/>
      <c r="VAD369" s="88"/>
      <c r="VAE369" s="88"/>
      <c r="VAG369" s="377"/>
      <c r="VAH369" s="88"/>
      <c r="VAI369" s="88"/>
      <c r="VAK369" s="377"/>
      <c r="VAL369" s="88"/>
      <c r="VAM369" s="88"/>
      <c r="VAO369" s="377"/>
      <c r="VAP369" s="88"/>
      <c r="VAQ369" s="88"/>
      <c r="VAS369" s="377"/>
      <c r="VAT369" s="88"/>
      <c r="VAU369" s="88"/>
      <c r="VAW369" s="377"/>
      <c r="VAX369" s="88"/>
      <c r="VAY369" s="88"/>
      <c r="VBA369" s="377"/>
      <c r="VBB369" s="88"/>
      <c r="VBC369" s="88"/>
      <c r="VBE369" s="377"/>
      <c r="VBF369" s="88"/>
      <c r="VBG369" s="88"/>
      <c r="VBI369" s="377"/>
      <c r="VBJ369" s="88"/>
      <c r="VBK369" s="88"/>
      <c r="VBM369" s="377"/>
      <c r="VBN369" s="88"/>
      <c r="VBO369" s="88"/>
      <c r="VBQ369" s="377"/>
      <c r="VBR369" s="88"/>
      <c r="VBS369" s="88"/>
      <c r="VBU369" s="377"/>
      <c r="VBV369" s="88"/>
      <c r="VBW369" s="88"/>
      <c r="VBY369" s="377"/>
      <c r="VBZ369" s="88"/>
      <c r="VCA369" s="88"/>
      <c r="VCC369" s="377"/>
      <c r="VCD369" s="88"/>
      <c r="VCE369" s="88"/>
      <c r="VCG369" s="377"/>
      <c r="VCH369" s="88"/>
      <c r="VCI369" s="88"/>
      <c r="VCK369" s="377"/>
      <c r="VCL369" s="88"/>
      <c r="VCM369" s="88"/>
      <c r="VCO369" s="377"/>
      <c r="VCP369" s="88"/>
      <c r="VCQ369" s="88"/>
      <c r="VCS369" s="377"/>
      <c r="VCT369" s="88"/>
      <c r="VCU369" s="88"/>
      <c r="VCW369" s="377"/>
      <c r="VCX369" s="88"/>
      <c r="VCY369" s="88"/>
      <c r="VDA369" s="377"/>
      <c r="VDB369" s="88"/>
      <c r="VDC369" s="88"/>
      <c r="VDE369" s="377"/>
      <c r="VDF369" s="88"/>
      <c r="VDG369" s="88"/>
      <c r="VDI369" s="377"/>
      <c r="VDJ369" s="88"/>
      <c r="VDK369" s="88"/>
      <c r="VDM369" s="377"/>
      <c r="VDN369" s="88"/>
      <c r="VDO369" s="88"/>
      <c r="VDQ369" s="377"/>
      <c r="VDR369" s="88"/>
      <c r="VDS369" s="88"/>
      <c r="VDU369" s="377"/>
      <c r="VDV369" s="88"/>
      <c r="VDW369" s="88"/>
      <c r="VDY369" s="377"/>
      <c r="VDZ369" s="88"/>
      <c r="VEA369" s="88"/>
      <c r="VEC369" s="377"/>
      <c r="VED369" s="88"/>
      <c r="VEE369" s="88"/>
      <c r="VEG369" s="377"/>
      <c r="VEH369" s="88"/>
      <c r="VEI369" s="88"/>
      <c r="VEK369" s="377"/>
      <c r="VEL369" s="88"/>
      <c r="VEM369" s="88"/>
      <c r="VEO369" s="377"/>
      <c r="VEP369" s="88"/>
      <c r="VEQ369" s="88"/>
      <c r="VES369" s="377"/>
      <c r="VET369" s="88"/>
      <c r="VEU369" s="88"/>
      <c r="VEW369" s="377"/>
      <c r="VEX369" s="88"/>
      <c r="VEY369" s="88"/>
      <c r="VFA369" s="377"/>
      <c r="VFB369" s="88"/>
      <c r="VFC369" s="88"/>
      <c r="VFE369" s="377"/>
      <c r="VFF369" s="88"/>
      <c r="VFG369" s="88"/>
      <c r="VFI369" s="377"/>
      <c r="VFJ369" s="88"/>
      <c r="VFK369" s="88"/>
      <c r="VFM369" s="377"/>
      <c r="VFN369" s="88"/>
      <c r="VFO369" s="88"/>
      <c r="VFQ369" s="377"/>
      <c r="VFR369" s="88"/>
      <c r="VFS369" s="88"/>
      <c r="VFU369" s="377"/>
      <c r="VFV369" s="88"/>
      <c r="VFW369" s="88"/>
      <c r="VFY369" s="377"/>
      <c r="VFZ369" s="88"/>
      <c r="VGA369" s="88"/>
      <c r="VGC369" s="377"/>
      <c r="VGD369" s="88"/>
      <c r="VGE369" s="88"/>
      <c r="VGG369" s="377"/>
      <c r="VGH369" s="88"/>
      <c r="VGI369" s="88"/>
      <c r="VGK369" s="377"/>
      <c r="VGL369" s="88"/>
      <c r="VGM369" s="88"/>
      <c r="VGO369" s="377"/>
      <c r="VGP369" s="88"/>
      <c r="VGQ369" s="88"/>
      <c r="VGS369" s="377"/>
      <c r="VGT369" s="88"/>
      <c r="VGU369" s="88"/>
      <c r="VGW369" s="377"/>
      <c r="VGX369" s="88"/>
      <c r="VGY369" s="88"/>
      <c r="VHA369" s="377"/>
      <c r="VHB369" s="88"/>
      <c r="VHC369" s="88"/>
      <c r="VHE369" s="377"/>
      <c r="VHF369" s="88"/>
      <c r="VHG369" s="88"/>
      <c r="VHI369" s="377"/>
      <c r="VHJ369" s="88"/>
      <c r="VHK369" s="88"/>
      <c r="VHM369" s="377"/>
      <c r="VHN369" s="88"/>
      <c r="VHO369" s="88"/>
      <c r="VHQ369" s="377"/>
      <c r="VHR369" s="88"/>
      <c r="VHS369" s="88"/>
      <c r="VHU369" s="377"/>
      <c r="VHV369" s="88"/>
      <c r="VHW369" s="88"/>
      <c r="VHY369" s="377"/>
      <c r="VHZ369" s="88"/>
      <c r="VIA369" s="88"/>
      <c r="VIC369" s="377"/>
      <c r="VID369" s="88"/>
      <c r="VIE369" s="88"/>
      <c r="VIG369" s="377"/>
      <c r="VIH369" s="88"/>
      <c r="VII369" s="88"/>
      <c r="VIK369" s="377"/>
      <c r="VIL369" s="88"/>
      <c r="VIM369" s="88"/>
      <c r="VIO369" s="377"/>
      <c r="VIP369" s="88"/>
      <c r="VIQ369" s="88"/>
      <c r="VIS369" s="377"/>
      <c r="VIT369" s="88"/>
      <c r="VIU369" s="88"/>
      <c r="VIW369" s="377"/>
      <c r="VIX369" s="88"/>
      <c r="VIY369" s="88"/>
      <c r="VJA369" s="377"/>
      <c r="VJB369" s="88"/>
      <c r="VJC369" s="88"/>
      <c r="VJE369" s="377"/>
      <c r="VJF369" s="88"/>
      <c r="VJG369" s="88"/>
      <c r="VJI369" s="377"/>
      <c r="VJJ369" s="88"/>
      <c r="VJK369" s="88"/>
      <c r="VJM369" s="377"/>
      <c r="VJN369" s="88"/>
      <c r="VJO369" s="88"/>
      <c r="VJQ369" s="377"/>
      <c r="VJR369" s="88"/>
      <c r="VJS369" s="88"/>
      <c r="VJU369" s="377"/>
      <c r="VJV369" s="88"/>
      <c r="VJW369" s="88"/>
      <c r="VJY369" s="377"/>
      <c r="VJZ369" s="88"/>
      <c r="VKA369" s="88"/>
      <c r="VKC369" s="377"/>
      <c r="VKD369" s="88"/>
      <c r="VKE369" s="88"/>
      <c r="VKG369" s="377"/>
      <c r="VKH369" s="88"/>
      <c r="VKI369" s="88"/>
      <c r="VKK369" s="377"/>
      <c r="VKL369" s="88"/>
      <c r="VKM369" s="88"/>
      <c r="VKO369" s="377"/>
      <c r="VKP369" s="88"/>
      <c r="VKQ369" s="88"/>
      <c r="VKS369" s="377"/>
      <c r="VKT369" s="88"/>
      <c r="VKU369" s="88"/>
      <c r="VKW369" s="377"/>
      <c r="VKX369" s="88"/>
      <c r="VKY369" s="88"/>
      <c r="VLA369" s="377"/>
      <c r="VLB369" s="88"/>
      <c r="VLC369" s="88"/>
      <c r="VLE369" s="377"/>
      <c r="VLF369" s="88"/>
      <c r="VLG369" s="88"/>
      <c r="VLI369" s="377"/>
      <c r="VLJ369" s="88"/>
      <c r="VLK369" s="88"/>
      <c r="VLM369" s="377"/>
      <c r="VLN369" s="88"/>
      <c r="VLO369" s="88"/>
      <c r="VLQ369" s="377"/>
      <c r="VLR369" s="88"/>
      <c r="VLS369" s="88"/>
      <c r="VLU369" s="377"/>
      <c r="VLV369" s="88"/>
      <c r="VLW369" s="88"/>
      <c r="VLY369" s="377"/>
      <c r="VLZ369" s="88"/>
      <c r="VMA369" s="88"/>
      <c r="VMC369" s="377"/>
      <c r="VMD369" s="88"/>
      <c r="VME369" s="88"/>
      <c r="VMG369" s="377"/>
      <c r="VMH369" s="88"/>
      <c r="VMI369" s="88"/>
      <c r="VMK369" s="377"/>
      <c r="VML369" s="88"/>
      <c r="VMM369" s="88"/>
      <c r="VMO369" s="377"/>
      <c r="VMP369" s="88"/>
      <c r="VMQ369" s="88"/>
      <c r="VMS369" s="377"/>
      <c r="VMT369" s="88"/>
      <c r="VMU369" s="88"/>
      <c r="VMW369" s="377"/>
      <c r="VMX369" s="88"/>
      <c r="VMY369" s="88"/>
      <c r="VNA369" s="377"/>
      <c r="VNB369" s="88"/>
      <c r="VNC369" s="88"/>
      <c r="VNE369" s="377"/>
      <c r="VNF369" s="88"/>
      <c r="VNG369" s="88"/>
      <c r="VNI369" s="377"/>
      <c r="VNJ369" s="88"/>
      <c r="VNK369" s="88"/>
      <c r="VNM369" s="377"/>
      <c r="VNN369" s="88"/>
      <c r="VNO369" s="88"/>
      <c r="VNQ369" s="377"/>
      <c r="VNR369" s="88"/>
      <c r="VNS369" s="88"/>
      <c r="VNU369" s="377"/>
      <c r="VNV369" s="88"/>
      <c r="VNW369" s="88"/>
      <c r="VNY369" s="377"/>
      <c r="VNZ369" s="88"/>
      <c r="VOA369" s="88"/>
      <c r="VOC369" s="377"/>
      <c r="VOD369" s="88"/>
      <c r="VOE369" s="88"/>
      <c r="VOG369" s="377"/>
      <c r="VOH369" s="88"/>
      <c r="VOI369" s="88"/>
      <c r="VOK369" s="377"/>
      <c r="VOL369" s="88"/>
      <c r="VOM369" s="88"/>
      <c r="VOO369" s="377"/>
      <c r="VOP369" s="88"/>
      <c r="VOQ369" s="88"/>
      <c r="VOS369" s="377"/>
      <c r="VOT369" s="88"/>
      <c r="VOU369" s="88"/>
      <c r="VOW369" s="377"/>
      <c r="VOX369" s="88"/>
      <c r="VOY369" s="88"/>
      <c r="VPA369" s="377"/>
      <c r="VPB369" s="88"/>
      <c r="VPC369" s="88"/>
      <c r="VPE369" s="377"/>
      <c r="VPF369" s="88"/>
      <c r="VPG369" s="88"/>
      <c r="VPI369" s="377"/>
      <c r="VPJ369" s="88"/>
      <c r="VPK369" s="88"/>
      <c r="VPM369" s="377"/>
      <c r="VPN369" s="88"/>
      <c r="VPO369" s="88"/>
      <c r="VPQ369" s="377"/>
      <c r="VPR369" s="88"/>
      <c r="VPS369" s="88"/>
      <c r="VPU369" s="377"/>
      <c r="VPV369" s="88"/>
      <c r="VPW369" s="88"/>
      <c r="VPY369" s="377"/>
      <c r="VPZ369" s="88"/>
      <c r="VQA369" s="88"/>
      <c r="VQC369" s="377"/>
      <c r="VQD369" s="88"/>
      <c r="VQE369" s="88"/>
      <c r="VQG369" s="377"/>
      <c r="VQH369" s="88"/>
      <c r="VQI369" s="88"/>
      <c r="VQK369" s="377"/>
      <c r="VQL369" s="88"/>
      <c r="VQM369" s="88"/>
      <c r="VQO369" s="377"/>
      <c r="VQP369" s="88"/>
      <c r="VQQ369" s="88"/>
      <c r="VQS369" s="377"/>
      <c r="VQT369" s="88"/>
      <c r="VQU369" s="88"/>
      <c r="VQW369" s="377"/>
      <c r="VQX369" s="88"/>
      <c r="VQY369" s="88"/>
      <c r="VRA369" s="377"/>
      <c r="VRB369" s="88"/>
      <c r="VRC369" s="88"/>
      <c r="VRE369" s="377"/>
      <c r="VRF369" s="88"/>
      <c r="VRG369" s="88"/>
      <c r="VRI369" s="377"/>
      <c r="VRJ369" s="88"/>
      <c r="VRK369" s="88"/>
      <c r="VRM369" s="377"/>
      <c r="VRN369" s="88"/>
      <c r="VRO369" s="88"/>
      <c r="VRQ369" s="377"/>
      <c r="VRR369" s="88"/>
      <c r="VRS369" s="88"/>
      <c r="VRU369" s="377"/>
      <c r="VRV369" s="88"/>
      <c r="VRW369" s="88"/>
      <c r="VRY369" s="377"/>
      <c r="VRZ369" s="88"/>
      <c r="VSA369" s="88"/>
      <c r="VSC369" s="377"/>
      <c r="VSD369" s="88"/>
      <c r="VSE369" s="88"/>
      <c r="VSG369" s="377"/>
      <c r="VSH369" s="88"/>
      <c r="VSI369" s="88"/>
      <c r="VSK369" s="377"/>
      <c r="VSL369" s="88"/>
      <c r="VSM369" s="88"/>
      <c r="VSO369" s="377"/>
      <c r="VSP369" s="88"/>
      <c r="VSQ369" s="88"/>
      <c r="VSS369" s="377"/>
      <c r="VST369" s="88"/>
      <c r="VSU369" s="88"/>
      <c r="VSW369" s="377"/>
      <c r="VSX369" s="88"/>
      <c r="VSY369" s="88"/>
      <c r="VTA369" s="377"/>
      <c r="VTB369" s="88"/>
      <c r="VTC369" s="88"/>
      <c r="VTE369" s="377"/>
      <c r="VTF369" s="88"/>
      <c r="VTG369" s="88"/>
      <c r="VTI369" s="377"/>
      <c r="VTJ369" s="88"/>
      <c r="VTK369" s="88"/>
      <c r="VTM369" s="377"/>
      <c r="VTN369" s="88"/>
      <c r="VTO369" s="88"/>
      <c r="VTQ369" s="377"/>
      <c r="VTR369" s="88"/>
      <c r="VTS369" s="88"/>
      <c r="VTU369" s="377"/>
      <c r="VTV369" s="88"/>
      <c r="VTW369" s="88"/>
      <c r="VTY369" s="377"/>
      <c r="VTZ369" s="88"/>
      <c r="VUA369" s="88"/>
      <c r="VUC369" s="377"/>
      <c r="VUD369" s="88"/>
      <c r="VUE369" s="88"/>
      <c r="VUG369" s="377"/>
      <c r="VUH369" s="88"/>
      <c r="VUI369" s="88"/>
      <c r="VUK369" s="377"/>
      <c r="VUL369" s="88"/>
      <c r="VUM369" s="88"/>
      <c r="VUO369" s="377"/>
      <c r="VUP369" s="88"/>
      <c r="VUQ369" s="88"/>
      <c r="VUS369" s="377"/>
      <c r="VUT369" s="88"/>
      <c r="VUU369" s="88"/>
      <c r="VUW369" s="377"/>
      <c r="VUX369" s="88"/>
      <c r="VUY369" s="88"/>
      <c r="VVA369" s="377"/>
      <c r="VVB369" s="88"/>
      <c r="VVC369" s="88"/>
      <c r="VVE369" s="377"/>
      <c r="VVF369" s="88"/>
      <c r="VVG369" s="88"/>
      <c r="VVI369" s="377"/>
      <c r="VVJ369" s="88"/>
      <c r="VVK369" s="88"/>
      <c r="VVM369" s="377"/>
      <c r="VVN369" s="88"/>
      <c r="VVO369" s="88"/>
      <c r="VVQ369" s="377"/>
      <c r="VVR369" s="88"/>
      <c r="VVS369" s="88"/>
      <c r="VVU369" s="377"/>
      <c r="VVV369" s="88"/>
      <c r="VVW369" s="88"/>
      <c r="VVY369" s="377"/>
      <c r="VVZ369" s="88"/>
      <c r="VWA369" s="88"/>
      <c r="VWC369" s="377"/>
      <c r="VWD369" s="88"/>
      <c r="VWE369" s="88"/>
      <c r="VWG369" s="377"/>
      <c r="VWH369" s="88"/>
      <c r="VWI369" s="88"/>
      <c r="VWK369" s="377"/>
      <c r="VWL369" s="88"/>
      <c r="VWM369" s="88"/>
      <c r="VWO369" s="377"/>
      <c r="VWP369" s="88"/>
      <c r="VWQ369" s="88"/>
      <c r="VWS369" s="377"/>
      <c r="VWT369" s="88"/>
      <c r="VWU369" s="88"/>
      <c r="VWW369" s="377"/>
      <c r="VWX369" s="88"/>
      <c r="VWY369" s="88"/>
      <c r="VXA369" s="377"/>
      <c r="VXB369" s="88"/>
      <c r="VXC369" s="88"/>
      <c r="VXE369" s="377"/>
      <c r="VXF369" s="88"/>
      <c r="VXG369" s="88"/>
      <c r="VXI369" s="377"/>
      <c r="VXJ369" s="88"/>
      <c r="VXK369" s="88"/>
      <c r="VXM369" s="377"/>
      <c r="VXN369" s="88"/>
      <c r="VXO369" s="88"/>
      <c r="VXQ369" s="377"/>
      <c r="VXR369" s="88"/>
      <c r="VXS369" s="88"/>
      <c r="VXU369" s="377"/>
      <c r="VXV369" s="88"/>
      <c r="VXW369" s="88"/>
      <c r="VXY369" s="377"/>
      <c r="VXZ369" s="88"/>
      <c r="VYA369" s="88"/>
      <c r="VYC369" s="377"/>
      <c r="VYD369" s="88"/>
      <c r="VYE369" s="88"/>
      <c r="VYG369" s="377"/>
      <c r="VYH369" s="88"/>
      <c r="VYI369" s="88"/>
      <c r="VYK369" s="377"/>
      <c r="VYL369" s="88"/>
      <c r="VYM369" s="88"/>
      <c r="VYO369" s="377"/>
      <c r="VYP369" s="88"/>
      <c r="VYQ369" s="88"/>
      <c r="VYS369" s="377"/>
      <c r="VYT369" s="88"/>
      <c r="VYU369" s="88"/>
      <c r="VYW369" s="377"/>
      <c r="VYX369" s="88"/>
      <c r="VYY369" s="88"/>
      <c r="VZA369" s="377"/>
      <c r="VZB369" s="88"/>
      <c r="VZC369" s="88"/>
      <c r="VZE369" s="377"/>
      <c r="VZF369" s="88"/>
      <c r="VZG369" s="88"/>
      <c r="VZI369" s="377"/>
      <c r="VZJ369" s="88"/>
      <c r="VZK369" s="88"/>
      <c r="VZM369" s="377"/>
      <c r="VZN369" s="88"/>
      <c r="VZO369" s="88"/>
      <c r="VZQ369" s="377"/>
      <c r="VZR369" s="88"/>
      <c r="VZS369" s="88"/>
      <c r="VZU369" s="377"/>
      <c r="VZV369" s="88"/>
      <c r="VZW369" s="88"/>
      <c r="VZY369" s="377"/>
      <c r="VZZ369" s="88"/>
      <c r="WAA369" s="88"/>
      <c r="WAC369" s="377"/>
      <c r="WAD369" s="88"/>
      <c r="WAE369" s="88"/>
      <c r="WAG369" s="377"/>
      <c r="WAH369" s="88"/>
      <c r="WAI369" s="88"/>
      <c r="WAK369" s="377"/>
      <c r="WAL369" s="88"/>
      <c r="WAM369" s="88"/>
      <c r="WAO369" s="377"/>
      <c r="WAP369" s="88"/>
      <c r="WAQ369" s="88"/>
      <c r="WAS369" s="377"/>
      <c r="WAT369" s="88"/>
      <c r="WAU369" s="88"/>
      <c r="WAW369" s="377"/>
      <c r="WAX369" s="88"/>
      <c r="WAY369" s="88"/>
      <c r="WBA369" s="377"/>
      <c r="WBB369" s="88"/>
      <c r="WBC369" s="88"/>
      <c r="WBE369" s="377"/>
      <c r="WBF369" s="88"/>
      <c r="WBG369" s="88"/>
      <c r="WBI369" s="377"/>
      <c r="WBJ369" s="88"/>
      <c r="WBK369" s="88"/>
      <c r="WBM369" s="377"/>
      <c r="WBN369" s="88"/>
      <c r="WBO369" s="88"/>
      <c r="WBQ369" s="377"/>
      <c r="WBR369" s="88"/>
      <c r="WBS369" s="88"/>
      <c r="WBU369" s="377"/>
      <c r="WBV369" s="88"/>
      <c r="WBW369" s="88"/>
      <c r="WBY369" s="377"/>
      <c r="WBZ369" s="88"/>
      <c r="WCA369" s="88"/>
      <c r="WCC369" s="377"/>
      <c r="WCD369" s="88"/>
      <c r="WCE369" s="88"/>
      <c r="WCG369" s="377"/>
      <c r="WCH369" s="88"/>
      <c r="WCI369" s="88"/>
      <c r="WCK369" s="377"/>
      <c r="WCL369" s="88"/>
      <c r="WCM369" s="88"/>
      <c r="WCO369" s="377"/>
      <c r="WCP369" s="88"/>
      <c r="WCQ369" s="88"/>
      <c r="WCS369" s="377"/>
      <c r="WCT369" s="88"/>
      <c r="WCU369" s="88"/>
      <c r="WCW369" s="377"/>
      <c r="WCX369" s="88"/>
      <c r="WCY369" s="88"/>
      <c r="WDA369" s="377"/>
      <c r="WDB369" s="88"/>
      <c r="WDC369" s="88"/>
      <c r="WDE369" s="377"/>
      <c r="WDF369" s="88"/>
      <c r="WDG369" s="88"/>
      <c r="WDI369" s="377"/>
      <c r="WDJ369" s="88"/>
      <c r="WDK369" s="88"/>
      <c r="WDM369" s="377"/>
      <c r="WDN369" s="88"/>
      <c r="WDO369" s="88"/>
      <c r="WDQ369" s="377"/>
      <c r="WDR369" s="88"/>
      <c r="WDS369" s="88"/>
      <c r="WDU369" s="377"/>
      <c r="WDV369" s="88"/>
      <c r="WDW369" s="88"/>
      <c r="WDY369" s="377"/>
      <c r="WDZ369" s="88"/>
      <c r="WEA369" s="88"/>
      <c r="WEC369" s="377"/>
      <c r="WED369" s="88"/>
      <c r="WEE369" s="88"/>
      <c r="WEG369" s="377"/>
      <c r="WEH369" s="88"/>
      <c r="WEI369" s="88"/>
      <c r="WEK369" s="377"/>
      <c r="WEL369" s="88"/>
      <c r="WEM369" s="88"/>
      <c r="WEO369" s="377"/>
      <c r="WEP369" s="88"/>
      <c r="WEQ369" s="88"/>
      <c r="WES369" s="377"/>
      <c r="WET369" s="88"/>
      <c r="WEU369" s="88"/>
      <c r="WEW369" s="377"/>
      <c r="WEX369" s="88"/>
      <c r="WEY369" s="88"/>
      <c r="WFA369" s="377"/>
      <c r="WFB369" s="88"/>
      <c r="WFC369" s="88"/>
      <c r="WFE369" s="377"/>
      <c r="WFF369" s="88"/>
      <c r="WFG369" s="88"/>
      <c r="WFI369" s="377"/>
      <c r="WFJ369" s="88"/>
      <c r="WFK369" s="88"/>
      <c r="WFM369" s="377"/>
      <c r="WFN369" s="88"/>
      <c r="WFO369" s="88"/>
      <c r="WFQ369" s="377"/>
      <c r="WFR369" s="88"/>
      <c r="WFS369" s="88"/>
      <c r="WFU369" s="377"/>
      <c r="WFV369" s="88"/>
      <c r="WFW369" s="88"/>
      <c r="WFY369" s="377"/>
      <c r="WFZ369" s="88"/>
      <c r="WGA369" s="88"/>
      <c r="WGC369" s="377"/>
      <c r="WGD369" s="88"/>
      <c r="WGE369" s="88"/>
      <c r="WGG369" s="377"/>
      <c r="WGH369" s="88"/>
      <c r="WGI369" s="88"/>
      <c r="WGK369" s="377"/>
      <c r="WGL369" s="88"/>
      <c r="WGM369" s="88"/>
      <c r="WGO369" s="377"/>
      <c r="WGP369" s="88"/>
      <c r="WGQ369" s="88"/>
      <c r="WGS369" s="377"/>
      <c r="WGT369" s="88"/>
      <c r="WGU369" s="88"/>
      <c r="WGW369" s="377"/>
      <c r="WGX369" s="88"/>
      <c r="WGY369" s="88"/>
      <c r="WHA369" s="377"/>
      <c r="WHB369" s="88"/>
      <c r="WHC369" s="88"/>
      <c r="WHE369" s="377"/>
      <c r="WHF369" s="88"/>
      <c r="WHG369" s="88"/>
      <c r="WHI369" s="377"/>
      <c r="WHJ369" s="88"/>
      <c r="WHK369" s="88"/>
      <c r="WHM369" s="377"/>
      <c r="WHN369" s="88"/>
      <c r="WHO369" s="88"/>
      <c r="WHQ369" s="377"/>
      <c r="WHR369" s="88"/>
      <c r="WHS369" s="88"/>
      <c r="WHU369" s="377"/>
      <c r="WHV369" s="88"/>
      <c r="WHW369" s="88"/>
      <c r="WHY369" s="377"/>
      <c r="WHZ369" s="88"/>
      <c r="WIA369" s="88"/>
      <c r="WIC369" s="377"/>
      <c r="WID369" s="88"/>
      <c r="WIE369" s="88"/>
      <c r="WIG369" s="377"/>
      <c r="WIH369" s="88"/>
      <c r="WII369" s="88"/>
      <c r="WIK369" s="377"/>
      <c r="WIL369" s="88"/>
      <c r="WIM369" s="88"/>
      <c r="WIO369" s="377"/>
      <c r="WIP369" s="88"/>
      <c r="WIQ369" s="88"/>
      <c r="WIS369" s="377"/>
      <c r="WIT369" s="88"/>
      <c r="WIU369" s="88"/>
      <c r="WIW369" s="377"/>
      <c r="WIX369" s="88"/>
      <c r="WIY369" s="88"/>
      <c r="WJA369" s="377"/>
      <c r="WJB369" s="88"/>
      <c r="WJC369" s="88"/>
      <c r="WJE369" s="377"/>
      <c r="WJF369" s="88"/>
      <c r="WJG369" s="88"/>
      <c r="WJI369" s="377"/>
      <c r="WJJ369" s="88"/>
      <c r="WJK369" s="88"/>
      <c r="WJM369" s="377"/>
      <c r="WJN369" s="88"/>
      <c r="WJO369" s="88"/>
      <c r="WJQ369" s="377"/>
      <c r="WJR369" s="88"/>
      <c r="WJS369" s="88"/>
      <c r="WJU369" s="377"/>
      <c r="WJV369" s="88"/>
      <c r="WJW369" s="88"/>
      <c r="WJY369" s="377"/>
      <c r="WJZ369" s="88"/>
      <c r="WKA369" s="88"/>
      <c r="WKC369" s="377"/>
      <c r="WKD369" s="88"/>
      <c r="WKE369" s="88"/>
      <c r="WKG369" s="377"/>
      <c r="WKH369" s="88"/>
      <c r="WKI369" s="88"/>
      <c r="WKK369" s="377"/>
      <c r="WKL369" s="88"/>
      <c r="WKM369" s="88"/>
      <c r="WKO369" s="377"/>
      <c r="WKP369" s="88"/>
      <c r="WKQ369" s="88"/>
      <c r="WKS369" s="377"/>
      <c r="WKT369" s="88"/>
      <c r="WKU369" s="88"/>
      <c r="WKW369" s="377"/>
      <c r="WKX369" s="88"/>
      <c r="WKY369" s="88"/>
      <c r="WLA369" s="377"/>
      <c r="WLB369" s="88"/>
      <c r="WLC369" s="88"/>
      <c r="WLE369" s="377"/>
      <c r="WLF369" s="88"/>
      <c r="WLG369" s="88"/>
      <c r="WLI369" s="377"/>
      <c r="WLJ369" s="88"/>
      <c r="WLK369" s="88"/>
      <c r="WLM369" s="377"/>
      <c r="WLN369" s="88"/>
      <c r="WLO369" s="88"/>
      <c r="WLQ369" s="377"/>
      <c r="WLR369" s="88"/>
      <c r="WLS369" s="88"/>
      <c r="WLU369" s="377"/>
      <c r="WLV369" s="88"/>
      <c r="WLW369" s="88"/>
      <c r="WLY369" s="377"/>
      <c r="WLZ369" s="88"/>
      <c r="WMA369" s="88"/>
      <c r="WMC369" s="377"/>
      <c r="WMD369" s="88"/>
      <c r="WME369" s="88"/>
      <c r="WMG369" s="377"/>
      <c r="WMH369" s="88"/>
      <c r="WMI369" s="88"/>
      <c r="WMK369" s="377"/>
      <c r="WML369" s="88"/>
      <c r="WMM369" s="88"/>
      <c r="WMO369" s="377"/>
      <c r="WMP369" s="88"/>
      <c r="WMQ369" s="88"/>
      <c r="WMS369" s="377"/>
      <c r="WMT369" s="88"/>
      <c r="WMU369" s="88"/>
      <c r="WMW369" s="377"/>
      <c r="WMX369" s="88"/>
      <c r="WMY369" s="88"/>
      <c r="WNA369" s="377"/>
      <c r="WNB369" s="88"/>
      <c r="WNC369" s="88"/>
      <c r="WNE369" s="377"/>
      <c r="WNF369" s="88"/>
      <c r="WNG369" s="88"/>
      <c r="WNI369" s="377"/>
      <c r="WNJ369" s="88"/>
      <c r="WNK369" s="88"/>
      <c r="WNM369" s="377"/>
      <c r="WNN369" s="88"/>
      <c r="WNO369" s="88"/>
      <c r="WNQ369" s="377"/>
      <c r="WNR369" s="88"/>
      <c r="WNS369" s="88"/>
      <c r="WNU369" s="377"/>
      <c r="WNV369" s="88"/>
      <c r="WNW369" s="88"/>
      <c r="WNY369" s="377"/>
      <c r="WNZ369" s="88"/>
      <c r="WOA369" s="88"/>
      <c r="WOC369" s="377"/>
      <c r="WOD369" s="88"/>
      <c r="WOE369" s="88"/>
      <c r="WOG369" s="377"/>
      <c r="WOH369" s="88"/>
      <c r="WOI369" s="88"/>
      <c r="WOK369" s="377"/>
      <c r="WOL369" s="88"/>
      <c r="WOM369" s="88"/>
      <c r="WOO369" s="377"/>
      <c r="WOP369" s="88"/>
      <c r="WOQ369" s="88"/>
      <c r="WOS369" s="377"/>
      <c r="WOT369" s="88"/>
      <c r="WOU369" s="88"/>
      <c r="WOW369" s="377"/>
      <c r="WOX369" s="88"/>
      <c r="WOY369" s="88"/>
      <c r="WPA369" s="377"/>
      <c r="WPB369" s="88"/>
      <c r="WPC369" s="88"/>
      <c r="WPE369" s="377"/>
      <c r="WPF369" s="88"/>
      <c r="WPG369" s="88"/>
      <c r="WPI369" s="377"/>
      <c r="WPJ369" s="88"/>
      <c r="WPK369" s="88"/>
      <c r="WPM369" s="377"/>
      <c r="WPN369" s="88"/>
      <c r="WPO369" s="88"/>
      <c r="WPQ369" s="377"/>
      <c r="WPR369" s="88"/>
      <c r="WPS369" s="88"/>
      <c r="WPU369" s="377"/>
      <c r="WPV369" s="88"/>
      <c r="WPW369" s="88"/>
      <c r="WPY369" s="377"/>
      <c r="WPZ369" s="88"/>
      <c r="WQA369" s="88"/>
      <c r="WQC369" s="377"/>
      <c r="WQD369" s="88"/>
      <c r="WQE369" s="88"/>
      <c r="WQG369" s="377"/>
      <c r="WQH369" s="88"/>
      <c r="WQI369" s="88"/>
      <c r="WQK369" s="377"/>
      <c r="WQL369" s="88"/>
      <c r="WQM369" s="88"/>
      <c r="WQO369" s="377"/>
      <c r="WQP369" s="88"/>
      <c r="WQQ369" s="88"/>
      <c r="WQS369" s="377"/>
      <c r="WQT369" s="88"/>
      <c r="WQU369" s="88"/>
      <c r="WQW369" s="377"/>
      <c r="WQX369" s="88"/>
      <c r="WQY369" s="88"/>
      <c r="WRA369" s="377"/>
      <c r="WRB369" s="88"/>
      <c r="WRC369" s="88"/>
      <c r="WRE369" s="377"/>
      <c r="WRF369" s="88"/>
      <c r="WRG369" s="88"/>
      <c r="WRI369" s="377"/>
      <c r="WRJ369" s="88"/>
      <c r="WRK369" s="88"/>
      <c r="WRM369" s="377"/>
      <c r="WRN369" s="88"/>
      <c r="WRO369" s="88"/>
      <c r="WRQ369" s="377"/>
      <c r="WRR369" s="88"/>
      <c r="WRS369" s="88"/>
      <c r="WRU369" s="377"/>
      <c r="WRV369" s="88"/>
      <c r="WRW369" s="88"/>
      <c r="WRY369" s="377"/>
      <c r="WRZ369" s="88"/>
      <c r="WSA369" s="88"/>
      <c r="WSC369" s="377"/>
      <c r="WSD369" s="88"/>
      <c r="WSE369" s="88"/>
      <c r="WSG369" s="377"/>
      <c r="WSH369" s="88"/>
      <c r="WSI369" s="88"/>
      <c r="WSK369" s="377"/>
      <c r="WSL369" s="88"/>
      <c r="WSM369" s="88"/>
      <c r="WSO369" s="377"/>
      <c r="WSP369" s="88"/>
      <c r="WSQ369" s="88"/>
      <c r="WSS369" s="377"/>
      <c r="WST369" s="88"/>
      <c r="WSU369" s="88"/>
      <c r="WSW369" s="377"/>
      <c r="WSX369" s="88"/>
      <c r="WSY369" s="88"/>
      <c r="WTA369" s="377"/>
      <c r="WTB369" s="88"/>
      <c r="WTC369" s="88"/>
      <c r="WTE369" s="377"/>
      <c r="WTF369" s="88"/>
      <c r="WTG369" s="88"/>
      <c r="WTI369" s="377"/>
      <c r="WTJ369" s="88"/>
      <c r="WTK369" s="88"/>
      <c r="WTM369" s="377"/>
      <c r="WTN369" s="88"/>
      <c r="WTO369" s="88"/>
      <c r="WTQ369" s="377"/>
      <c r="WTR369" s="88"/>
      <c r="WTS369" s="88"/>
      <c r="WTU369" s="377"/>
      <c r="WTV369" s="88"/>
      <c r="WTW369" s="88"/>
      <c r="WTY369" s="377"/>
      <c r="WTZ369" s="88"/>
      <c r="WUA369" s="88"/>
      <c r="WUC369" s="377"/>
      <c r="WUD369" s="88"/>
      <c r="WUE369" s="88"/>
      <c r="WUG369" s="377"/>
      <c r="WUH369" s="88"/>
      <c r="WUI369" s="88"/>
      <c r="WUK369" s="377"/>
      <c r="WUL369" s="88"/>
      <c r="WUM369" s="88"/>
      <c r="WUO369" s="377"/>
      <c r="WUP369" s="88"/>
      <c r="WUQ369" s="88"/>
      <c r="WUS369" s="377"/>
      <c r="WUT369" s="88"/>
      <c r="WUU369" s="88"/>
      <c r="WUW369" s="377"/>
      <c r="WUX369" s="88"/>
      <c r="WUY369" s="88"/>
      <c r="WVA369" s="377"/>
      <c r="WVB369" s="88"/>
      <c r="WVC369" s="88"/>
      <c r="WVE369" s="377"/>
      <c r="WVF369" s="88"/>
      <c r="WVG369" s="88"/>
      <c r="WVI369" s="377"/>
      <c r="WVJ369" s="88"/>
      <c r="WVK369" s="88"/>
      <c r="WVM369" s="377"/>
      <c r="WVN369" s="88"/>
      <c r="WVO369" s="88"/>
      <c r="WVQ369" s="377"/>
      <c r="WVR369" s="88"/>
      <c r="WVS369" s="88"/>
      <c r="WVU369" s="377"/>
      <c r="WVV369" s="88"/>
      <c r="WVW369" s="88"/>
      <c r="WVY369" s="377"/>
      <c r="WVZ369" s="88"/>
      <c r="WWA369" s="88"/>
      <c r="WWC369" s="377"/>
      <c r="WWD369" s="88"/>
      <c r="WWE369" s="88"/>
      <c r="WWG369" s="377"/>
      <c r="WWH369" s="88"/>
      <c r="WWI369" s="88"/>
      <c r="WWK369" s="377"/>
      <c r="WWL369" s="88"/>
      <c r="WWM369" s="88"/>
      <c r="WWO369" s="377"/>
      <c r="WWP369" s="88"/>
      <c r="WWQ369" s="88"/>
      <c r="WWS369" s="377"/>
      <c r="WWT369" s="88"/>
      <c r="WWU369" s="88"/>
      <c r="WWW369" s="377"/>
      <c r="WWX369" s="88"/>
      <c r="WWY369" s="88"/>
      <c r="WXA369" s="377"/>
      <c r="WXB369" s="88"/>
      <c r="WXC369" s="88"/>
      <c r="WXE369" s="377"/>
      <c r="WXF369" s="88"/>
      <c r="WXG369" s="88"/>
      <c r="WXI369" s="377"/>
      <c r="WXJ369" s="88"/>
      <c r="WXK369" s="88"/>
      <c r="WXM369" s="377"/>
      <c r="WXN369" s="88"/>
      <c r="WXO369" s="88"/>
      <c r="WXQ369" s="377"/>
      <c r="WXR369" s="88"/>
      <c r="WXS369" s="88"/>
      <c r="WXU369" s="377"/>
      <c r="WXV369" s="88"/>
      <c r="WXW369" s="88"/>
      <c r="WXY369" s="377"/>
      <c r="WXZ369" s="88"/>
      <c r="WYA369" s="88"/>
      <c r="WYC369" s="377"/>
      <c r="WYD369" s="88"/>
      <c r="WYE369" s="88"/>
      <c r="WYG369" s="377"/>
      <c r="WYH369" s="88"/>
      <c r="WYI369" s="88"/>
      <c r="WYK369" s="377"/>
      <c r="WYL369" s="88"/>
      <c r="WYM369" s="88"/>
      <c r="WYO369" s="377"/>
      <c r="WYP369" s="88"/>
      <c r="WYQ369" s="88"/>
      <c r="WYS369" s="377"/>
      <c r="WYT369" s="88"/>
      <c r="WYU369" s="88"/>
      <c r="WYW369" s="377"/>
      <c r="WYX369" s="88"/>
      <c r="WYY369" s="88"/>
      <c r="WZA369" s="377"/>
      <c r="WZB369" s="88"/>
      <c r="WZC369" s="88"/>
      <c r="WZE369" s="377"/>
      <c r="WZF369" s="88"/>
      <c r="WZG369" s="88"/>
      <c r="WZI369" s="377"/>
      <c r="WZJ369" s="88"/>
      <c r="WZK369" s="88"/>
      <c r="WZM369" s="377"/>
      <c r="WZN369" s="88"/>
      <c r="WZO369" s="88"/>
      <c r="WZQ369" s="377"/>
      <c r="WZR369" s="88"/>
      <c r="WZS369" s="88"/>
      <c r="WZU369" s="377"/>
      <c r="WZV369" s="88"/>
      <c r="WZW369" s="88"/>
      <c r="WZY369" s="377"/>
      <c r="WZZ369" s="88"/>
      <c r="XAA369" s="88"/>
      <c r="XAC369" s="377"/>
      <c r="XAD369" s="88"/>
      <c r="XAE369" s="88"/>
      <c r="XAG369" s="377"/>
      <c r="XAH369" s="88"/>
      <c r="XAI369" s="88"/>
      <c r="XAK369" s="377"/>
      <c r="XAL369" s="88"/>
      <c r="XAM369" s="88"/>
      <c r="XAO369" s="377"/>
      <c r="XAP369" s="88"/>
      <c r="XAQ369" s="88"/>
      <c r="XAS369" s="377"/>
      <c r="XAT369" s="88"/>
      <c r="XAU369" s="88"/>
      <c r="XAW369" s="377"/>
      <c r="XAX369" s="88"/>
      <c r="XAY369" s="88"/>
      <c r="XBA369" s="377"/>
      <c r="XBB369" s="88"/>
      <c r="XBC369" s="88"/>
      <c r="XBE369" s="377"/>
      <c r="XBF369" s="88"/>
      <c r="XBG369" s="88"/>
      <c r="XBI369" s="377"/>
      <c r="XBJ369" s="88"/>
      <c r="XBK369" s="88"/>
      <c r="XBM369" s="377"/>
      <c r="XBN369" s="88"/>
      <c r="XBO369" s="88"/>
      <c r="XBQ369" s="377"/>
      <c r="XBR369" s="88"/>
      <c r="XBS369" s="88"/>
      <c r="XBU369" s="377"/>
      <c r="XBV369" s="88"/>
      <c r="XBW369" s="88"/>
      <c r="XBY369" s="377"/>
      <c r="XBZ369" s="88"/>
      <c r="XCA369" s="88"/>
      <c r="XCC369" s="377"/>
      <c r="XCD369" s="88"/>
      <c r="XCE369" s="88"/>
      <c r="XCG369" s="377"/>
      <c r="XCH369" s="88"/>
      <c r="XCI369" s="88"/>
      <c r="XCK369" s="377"/>
      <c r="XCL369" s="88"/>
      <c r="XCM369" s="88"/>
      <c r="XCO369" s="377"/>
      <c r="XCP369" s="88"/>
      <c r="XCQ369" s="88"/>
      <c r="XCS369" s="377"/>
      <c r="XCT369" s="88"/>
      <c r="XCU369" s="88"/>
      <c r="XCW369" s="377"/>
      <c r="XCX369" s="88"/>
      <c r="XCY369" s="88"/>
      <c r="XDA369" s="377"/>
      <c r="XDB369" s="88"/>
      <c r="XDC369" s="88"/>
      <c r="XDE369" s="377"/>
      <c r="XDF369" s="88"/>
      <c r="XDG369" s="88"/>
      <c r="XDI369" s="377"/>
      <c r="XDJ369" s="88"/>
      <c r="XDK369" s="88"/>
      <c r="XDM369" s="377"/>
      <c r="XDN369" s="88"/>
      <c r="XDO369" s="88"/>
      <c r="XDQ369" s="377"/>
      <c r="XDR369" s="88"/>
      <c r="XDS369" s="88"/>
      <c r="XDU369" s="377"/>
      <c r="XDV369" s="88"/>
      <c r="XDW369" s="88"/>
      <c r="XDY369" s="377"/>
      <c r="XDZ369" s="88"/>
      <c r="XEA369" s="88"/>
      <c r="XEC369" s="377"/>
      <c r="XED369" s="88"/>
      <c r="XEE369" s="88"/>
      <c r="XEG369" s="377"/>
      <c r="XEH369" s="88"/>
      <c r="XEI369" s="88"/>
      <c r="XEK369" s="377"/>
      <c r="XEL369" s="88"/>
      <c r="XEM369" s="88"/>
      <c r="XEO369" s="377"/>
      <c r="XEP369" s="88"/>
      <c r="XEQ369" s="88"/>
      <c r="XES369" s="377"/>
      <c r="XET369" s="88"/>
      <c r="XEU369" s="88"/>
      <c r="XEW369" s="377"/>
      <c r="XEX369" s="88"/>
      <c r="XEY369" s="88"/>
      <c r="XFA369" s="377"/>
      <c r="XFB369" s="88"/>
      <c r="XFC369" s="88"/>
    </row>
    <row r="370" spans="1:1023 1025:2047 2049:3071 3073:4095 4097:5119 5121:6143 6145:7167 7169:8191 8193:9215 9217:10239 10241:11263 11265:12287 12289:13311 13313:14335 14337:15359 15361:16383" s="12" customFormat="1" ht="18" x14ac:dyDescent="0.3">
      <c r="A370" s="378" t="s">
        <v>8</v>
      </c>
      <c r="B370" s="95"/>
      <c r="C370" s="340"/>
      <c r="D370" s="143"/>
      <c r="E370" s="121"/>
      <c r="F370" s="122"/>
    </row>
    <row r="371" spans="1:1023 1025:2047 2049:3071 3073:4095 4097:5119 5121:6143 6145:7167 7169:8191 8193:9215 9217:10239 10241:11263 11265:12287 12289:13311 13313:14335 14337:15359 15361:16383" s="12" customFormat="1" x14ac:dyDescent="0.3">
      <c r="A371" s="371" t="s">
        <v>206</v>
      </c>
      <c r="B371" s="372" t="s">
        <v>207</v>
      </c>
      <c r="C371" s="366"/>
      <c r="D371" s="312" t="s">
        <v>146</v>
      </c>
      <c r="E371" s="369" t="s">
        <v>7</v>
      </c>
      <c r="F371" s="370"/>
    </row>
    <row r="372" spans="1:1023 1025:2047 2049:3071 3073:4095 4097:5119 5121:6143 6145:7167 7169:8191 8193:9215 9217:10239 10241:11263 11265:12287 12289:13311 13313:14335 14337:15359 15361:16383" s="12" customFormat="1" x14ac:dyDescent="0.3">
      <c r="A372" s="142" t="s">
        <v>208</v>
      </c>
      <c r="B372" s="95">
        <v>45</v>
      </c>
      <c r="C372" s="335" t="s">
        <v>209</v>
      </c>
      <c r="D372" s="143" t="s">
        <v>210</v>
      </c>
      <c r="E372" s="121"/>
      <c r="F372" s="122"/>
    </row>
    <row r="373" spans="1:1023 1025:2047 2049:3071 3073:4095 4097:5119 5121:6143 6145:7167 7169:8191 8193:9215 9217:10239 10241:11263 11265:12287 12289:13311 13313:14335 14337:15359 15361:16383" s="12" customFormat="1" ht="33" x14ac:dyDescent="0.3">
      <c r="A373" s="142" t="s">
        <v>211</v>
      </c>
      <c r="B373" s="95">
        <v>80</v>
      </c>
      <c r="C373" s="335" t="s">
        <v>209</v>
      </c>
      <c r="D373" s="143" t="s">
        <v>210</v>
      </c>
      <c r="E373" s="121"/>
      <c r="F373" s="122"/>
    </row>
    <row r="374" spans="1:1023 1025:2047 2049:3071 3073:4095 4097:5119 5121:6143 6145:7167 7169:8191 8193:9215 9217:10239 10241:11263 11265:12287 12289:13311 13313:14335 14337:15359 15361:16383" s="12" customFormat="1" ht="33" x14ac:dyDescent="0.3">
      <c r="A374" s="142" t="s">
        <v>212</v>
      </c>
      <c r="B374" s="95">
        <f>B372*1.1</f>
        <v>49.500000000000007</v>
      </c>
      <c r="C374" s="335" t="s">
        <v>209</v>
      </c>
      <c r="D374" s="143" t="s">
        <v>213</v>
      </c>
      <c r="E374" s="121" t="s">
        <v>214</v>
      </c>
      <c r="F374" s="122"/>
    </row>
    <row r="375" spans="1:1023 1025:2047 2049:3071 3073:4095 4097:5119 5121:6143 6145:7167 7169:8191 8193:9215 9217:10239 10241:11263 11265:12287 12289:13311 13313:14335 14337:15359 15361:16383" s="12" customFormat="1" x14ac:dyDescent="0.3">
      <c r="A375" s="142"/>
      <c r="B375" s="95"/>
      <c r="C375" s="335"/>
      <c r="D375" s="143"/>
      <c r="E375" s="121"/>
      <c r="F375" s="122"/>
    </row>
    <row r="376" spans="1:1023 1025:2047 2049:3071 3073:4095 4097:5119 5121:6143 6145:7167 7169:8191 8193:9215 9217:10239 10241:11263 11265:12287 12289:13311 13313:14335 14337:15359 15361:16383" s="12" customFormat="1" x14ac:dyDescent="0.3">
      <c r="A376" s="142"/>
      <c r="B376" s="95"/>
      <c r="C376" s="335"/>
      <c r="D376" s="143"/>
      <c r="E376" s="121"/>
      <c r="F376" s="122"/>
    </row>
    <row r="377" spans="1:1023 1025:2047 2049:3071 3073:4095 4097:5119 5121:6143 6145:7167 7169:8191 8193:9215 9217:10239 10241:11263 11265:12287 12289:13311 13313:14335 14337:15359 15361:16383" s="12" customFormat="1" x14ac:dyDescent="0.3">
      <c r="A377" s="142" t="s">
        <v>215</v>
      </c>
      <c r="B377" s="95">
        <f>15*14</f>
        <v>210</v>
      </c>
      <c r="C377" s="335" t="s">
        <v>209</v>
      </c>
      <c r="D377" s="143" t="s">
        <v>216</v>
      </c>
      <c r="E377" s="121"/>
      <c r="F377" s="122"/>
    </row>
    <row r="378" spans="1:1023 1025:2047 2049:3071 3073:4095 4097:5119 5121:6143 6145:7167 7169:8191 8193:9215 9217:10239 10241:11263 11265:12287 12289:13311 13313:14335 14337:15359 15361:16383" s="12" customFormat="1" x14ac:dyDescent="0.3">
      <c r="A378" s="142" t="s">
        <v>217</v>
      </c>
      <c r="B378" s="95">
        <f>10*14*1.3</f>
        <v>182</v>
      </c>
      <c r="C378" s="335" t="s">
        <v>209</v>
      </c>
      <c r="D378" s="143" t="s">
        <v>213</v>
      </c>
      <c r="E378" s="379" t="s">
        <v>218</v>
      </c>
      <c r="F378" s="122"/>
    </row>
    <row r="379" spans="1:1023 1025:2047 2049:3071 3073:4095 4097:5119 5121:6143 6145:7167 7169:8191 8193:9215 9217:10239 10241:11263 11265:12287 12289:13311 13313:14335 14337:15359 15361:16383" s="12" customFormat="1" x14ac:dyDescent="0.3">
      <c r="A379" s="142" t="s">
        <v>219</v>
      </c>
      <c r="B379" s="95">
        <f>13*14*1.3</f>
        <v>236.6</v>
      </c>
      <c r="C379" s="335" t="s">
        <v>209</v>
      </c>
      <c r="D379" s="143" t="s">
        <v>213</v>
      </c>
      <c r="E379" s="379" t="s">
        <v>220</v>
      </c>
      <c r="F379" s="122"/>
    </row>
    <row r="380" spans="1:1023 1025:2047 2049:3071 3073:4095 4097:5119 5121:6143 6145:7167 7169:8191 8193:9215 9217:10239 10241:11263 11265:12287 12289:13311 13313:14335 14337:15359 15361:16383" s="12" customFormat="1" x14ac:dyDescent="0.3">
      <c r="A380" s="142" t="s">
        <v>221</v>
      </c>
      <c r="B380" s="95">
        <f>145*1.3</f>
        <v>188.5</v>
      </c>
      <c r="C380" s="335" t="s">
        <v>209</v>
      </c>
      <c r="D380" s="143" t="s">
        <v>213</v>
      </c>
      <c r="E380" s="121" t="s">
        <v>214</v>
      </c>
      <c r="F380" s="122"/>
    </row>
    <row r="381" spans="1:1023 1025:2047 2049:3071 3073:4095 4097:5119 5121:6143 6145:7167 7169:8191 8193:9215 9217:10239 10241:11263 11265:12287 12289:13311 13313:14335 14337:15359 15361:16383" s="12" customFormat="1" x14ac:dyDescent="0.3">
      <c r="A381" s="142"/>
      <c r="B381" s="95"/>
      <c r="C381" s="335"/>
      <c r="D381" s="143"/>
      <c r="E381" s="121"/>
      <c r="F381" s="122"/>
    </row>
    <row r="382" spans="1:1023 1025:2047 2049:3071 3073:4095 4097:5119 5121:6143 6145:7167 7169:8191 8193:9215 9217:10239 10241:11263 11265:12287 12289:13311 13313:14335 14337:15359 15361:16383" s="12" customFormat="1" x14ac:dyDescent="0.3">
      <c r="A382" s="142"/>
      <c r="B382" s="95"/>
      <c r="C382" s="335"/>
      <c r="D382" s="143"/>
      <c r="E382" s="121"/>
      <c r="F382" s="122"/>
    </row>
    <row r="383" spans="1:1023 1025:2047 2049:3071 3073:4095 4097:5119 5121:6143 6145:7167 7169:8191 8193:9215 9217:10239 10241:11263 11265:12287 12289:13311 13313:14335 14337:15359 15361:16383" s="12" customFormat="1" x14ac:dyDescent="0.3">
      <c r="A383" s="285"/>
      <c r="B383" s="97"/>
      <c r="C383" s="381"/>
      <c r="D383" s="290"/>
      <c r="E383" s="124"/>
      <c r="F383" s="125"/>
    </row>
    <row r="384" spans="1:1023 1025:2047 2049:3071 3073:4095 4097:5119 5121:6143 6145:7167 7169:8191 8193:9215 9217:10239 10241:11263 11265:12287 12289:13311 13313:14335 14337:15359 15361:16383" s="12" customFormat="1" ht="18" x14ac:dyDescent="0.3">
      <c r="A384" s="375" t="s">
        <v>21</v>
      </c>
      <c r="B384" s="127"/>
      <c r="C384" s="283"/>
      <c r="D384" s="296"/>
      <c r="E384" s="128"/>
      <c r="F384" s="129"/>
    </row>
    <row r="385" spans="1:6" s="12" customFormat="1" x14ac:dyDescent="0.3">
      <c r="A385" s="352" t="s">
        <v>206</v>
      </c>
      <c r="B385" s="373" t="s">
        <v>207</v>
      </c>
      <c r="C385" s="368"/>
      <c r="D385" s="300" t="s">
        <v>146</v>
      </c>
      <c r="E385" s="369" t="s">
        <v>7</v>
      </c>
      <c r="F385" s="339"/>
    </row>
    <row r="386" spans="1:6" s="12" customFormat="1" ht="33" x14ac:dyDescent="0.3">
      <c r="A386" s="287" t="s">
        <v>222</v>
      </c>
      <c r="B386" s="127">
        <v>400</v>
      </c>
      <c r="C386" s="283" t="s">
        <v>209</v>
      </c>
      <c r="D386" s="509" t="s">
        <v>210</v>
      </c>
      <c r="E386" s="128"/>
      <c r="F386" s="129"/>
    </row>
    <row r="387" spans="1:6" s="12" customFormat="1" ht="33" x14ac:dyDescent="0.3">
      <c r="A387" s="145" t="s">
        <v>223</v>
      </c>
      <c r="B387" s="104">
        <f>B386+(B386*15%)</f>
        <v>460</v>
      </c>
      <c r="C387" s="279" t="s">
        <v>209</v>
      </c>
      <c r="D387" s="145" t="s">
        <v>210</v>
      </c>
      <c r="F387" s="130"/>
    </row>
    <row r="388" spans="1:6" s="12" customFormat="1" x14ac:dyDescent="0.3">
      <c r="A388" s="145" t="s">
        <v>224</v>
      </c>
      <c r="B388" s="104">
        <f>B386*1.1</f>
        <v>440.00000000000006</v>
      </c>
      <c r="C388" s="279" t="s">
        <v>209</v>
      </c>
      <c r="D388" s="145" t="s">
        <v>210</v>
      </c>
      <c r="F388" s="130"/>
    </row>
    <row r="389" spans="1:6" s="12" customFormat="1" x14ac:dyDescent="0.3">
      <c r="A389" s="145"/>
      <c r="B389" s="104"/>
      <c r="C389" s="279"/>
      <c r="D389" s="146"/>
      <c r="F389" s="130"/>
    </row>
    <row r="390" spans="1:6" s="12" customFormat="1" x14ac:dyDescent="0.3">
      <c r="A390" s="145" t="s">
        <v>225</v>
      </c>
      <c r="B390" s="374">
        <f>6665/B394</f>
        <v>3545.2127659574471</v>
      </c>
      <c r="C390" s="279" t="s">
        <v>226</v>
      </c>
      <c r="D390" s="146" t="s">
        <v>227</v>
      </c>
      <c r="F390" s="130"/>
    </row>
    <row r="391" spans="1:6" s="12" customFormat="1" x14ac:dyDescent="0.3">
      <c r="A391" s="145" t="s">
        <v>217</v>
      </c>
      <c r="B391" s="374">
        <f>2524/B394*1.4</f>
        <v>1879.5744680851064</v>
      </c>
      <c r="C391" s="279" t="s">
        <v>226</v>
      </c>
      <c r="D391" s="146" t="s">
        <v>213</v>
      </c>
      <c r="E391" s="280" t="s">
        <v>218</v>
      </c>
      <c r="F391" s="130"/>
    </row>
    <row r="392" spans="1:6" s="12" customFormat="1" x14ac:dyDescent="0.3">
      <c r="A392" s="145" t="s">
        <v>219</v>
      </c>
      <c r="B392" s="104">
        <f>1597*1.4</f>
        <v>2235.7999999999997</v>
      </c>
      <c r="C392" s="279" t="s">
        <v>209</v>
      </c>
      <c r="D392" s="146" t="s">
        <v>213</v>
      </c>
      <c r="E392" s="280" t="s">
        <v>220</v>
      </c>
      <c r="F392" s="130"/>
    </row>
    <row r="393" spans="1:6" s="12" customFormat="1" x14ac:dyDescent="0.3">
      <c r="A393" s="145" t="s">
        <v>221</v>
      </c>
      <c r="B393" s="104">
        <f>145*1.4</f>
        <v>203</v>
      </c>
      <c r="C393" s="279" t="s">
        <v>209</v>
      </c>
      <c r="D393" s="146" t="s">
        <v>213</v>
      </c>
      <c r="E393" s="281" t="s">
        <v>214</v>
      </c>
      <c r="F393" s="130"/>
    </row>
    <row r="394" spans="1:6" s="12" customFormat="1" x14ac:dyDescent="0.3">
      <c r="A394" s="145"/>
      <c r="B394" s="292">
        <v>1.88</v>
      </c>
      <c r="C394" s="89" t="s">
        <v>45</v>
      </c>
      <c r="D394" s="146"/>
      <c r="F394" s="130"/>
    </row>
    <row r="395" spans="1:6" s="12" customFormat="1" x14ac:dyDescent="0.3">
      <c r="A395" s="145"/>
      <c r="B395" s="104"/>
      <c r="C395" s="279"/>
      <c r="D395" s="146"/>
      <c r="F395" s="130"/>
    </row>
    <row r="396" spans="1:6" s="12" customFormat="1" x14ac:dyDescent="0.3">
      <c r="A396" s="145"/>
      <c r="B396" s="104"/>
      <c r="C396" s="279"/>
      <c r="D396" s="146"/>
      <c r="F396" s="130"/>
    </row>
    <row r="397" spans="1:6" s="12" customFormat="1" x14ac:dyDescent="0.3">
      <c r="A397" s="148"/>
      <c r="B397" s="109"/>
      <c r="C397" s="282"/>
      <c r="D397" s="149"/>
      <c r="E397" s="131"/>
      <c r="F397" s="132"/>
    </row>
    <row r="398" spans="1:6" s="12" customFormat="1" ht="18" x14ac:dyDescent="0.3">
      <c r="A398" s="382" t="s">
        <v>25</v>
      </c>
      <c r="B398" s="117"/>
      <c r="C398" s="383"/>
      <c r="D398" s="384"/>
      <c r="E398" s="118"/>
      <c r="F398" s="119"/>
    </row>
    <row r="399" spans="1:6" s="12" customFormat="1" x14ac:dyDescent="0.3">
      <c r="A399" s="371" t="s">
        <v>206</v>
      </c>
      <c r="B399" s="372" t="s">
        <v>207</v>
      </c>
      <c r="C399" s="366"/>
      <c r="D399" s="312" t="s">
        <v>146</v>
      </c>
      <c r="E399" s="369" t="s">
        <v>7</v>
      </c>
      <c r="F399" s="370"/>
    </row>
    <row r="400" spans="1:6" s="12" customFormat="1" x14ac:dyDescent="0.3">
      <c r="A400" s="142" t="s">
        <v>228</v>
      </c>
      <c r="B400" s="95">
        <v>5.8</v>
      </c>
      <c r="C400" s="335" t="s">
        <v>229</v>
      </c>
      <c r="D400" s="385" t="s">
        <v>210</v>
      </c>
      <c r="E400" s="121"/>
      <c r="F400" s="122"/>
    </row>
    <row r="401" spans="1:6" s="12" customFormat="1" x14ac:dyDescent="0.3">
      <c r="A401" s="142" t="s">
        <v>230</v>
      </c>
      <c r="B401" s="95">
        <v>8.6999999999999993</v>
      </c>
      <c r="C401" s="335" t="s">
        <v>229</v>
      </c>
      <c r="D401" s="385" t="s">
        <v>210</v>
      </c>
      <c r="E401" s="121"/>
      <c r="F401" s="122"/>
    </row>
    <row r="402" spans="1:6" s="12" customFormat="1" x14ac:dyDescent="0.3">
      <c r="A402" s="142" t="s">
        <v>231</v>
      </c>
      <c r="B402" s="386">
        <f>784.62/66</f>
        <v>11.888181818181819</v>
      </c>
      <c r="C402" s="335" t="s">
        <v>229</v>
      </c>
      <c r="D402" s="385" t="s">
        <v>210</v>
      </c>
      <c r="E402" s="121"/>
      <c r="F402" s="122"/>
    </row>
    <row r="403" spans="1:6" s="12" customFormat="1" ht="33" x14ac:dyDescent="0.3">
      <c r="A403" s="142" t="s">
        <v>232</v>
      </c>
      <c r="B403" s="95">
        <f>B400*1.1</f>
        <v>6.38</v>
      </c>
      <c r="C403" s="335" t="s">
        <v>229</v>
      </c>
      <c r="D403" s="142" t="s">
        <v>210</v>
      </c>
      <c r="E403" s="121"/>
      <c r="F403" s="122"/>
    </row>
    <row r="404" spans="1:6" s="12" customFormat="1" x14ac:dyDescent="0.3">
      <c r="A404" s="142"/>
      <c r="B404" s="95"/>
      <c r="C404" s="335"/>
      <c r="D404" s="143"/>
      <c r="E404" s="121"/>
      <c r="F404" s="122"/>
    </row>
    <row r="405" spans="1:6" s="12" customFormat="1" x14ac:dyDescent="0.3">
      <c r="A405" s="142" t="s">
        <v>233</v>
      </c>
      <c r="B405" s="95">
        <v>7.5</v>
      </c>
      <c r="C405" s="335" t="s">
        <v>229</v>
      </c>
      <c r="D405" s="143" t="s">
        <v>216</v>
      </c>
      <c r="E405" s="387"/>
      <c r="F405" s="122"/>
    </row>
    <row r="406" spans="1:6" s="12" customFormat="1" x14ac:dyDescent="0.3">
      <c r="A406" s="142" t="s">
        <v>217</v>
      </c>
      <c r="B406" s="95">
        <v>10</v>
      </c>
      <c r="C406" s="335" t="s">
        <v>229</v>
      </c>
      <c r="D406" s="143" t="s">
        <v>213</v>
      </c>
      <c r="E406" s="379" t="s">
        <v>218</v>
      </c>
      <c r="F406" s="122"/>
    </row>
    <row r="407" spans="1:6" s="12" customFormat="1" x14ac:dyDescent="0.3">
      <c r="A407" s="142" t="s">
        <v>219</v>
      </c>
      <c r="B407" s="95">
        <v>11.89</v>
      </c>
      <c r="C407" s="335" t="s">
        <v>229</v>
      </c>
      <c r="D407" s="143" t="s">
        <v>213</v>
      </c>
      <c r="E407" s="379" t="s">
        <v>220</v>
      </c>
      <c r="F407" s="122"/>
    </row>
    <row r="408" spans="1:6" s="12" customFormat="1" x14ac:dyDescent="0.3">
      <c r="A408" s="142" t="s">
        <v>221</v>
      </c>
      <c r="B408" s="95">
        <v>10.4</v>
      </c>
      <c r="C408" s="335" t="s">
        <v>229</v>
      </c>
      <c r="D408" s="143" t="s">
        <v>213</v>
      </c>
      <c r="E408" s="380" t="s">
        <v>214</v>
      </c>
      <c r="F408" s="122"/>
    </row>
    <row r="409" spans="1:6" s="12" customFormat="1" x14ac:dyDescent="0.3">
      <c r="A409" s="142"/>
      <c r="B409" s="95"/>
      <c r="C409" s="335"/>
      <c r="D409" s="143"/>
      <c r="E409" s="121"/>
      <c r="F409" s="122"/>
    </row>
    <row r="410" spans="1:6" s="12" customFormat="1" x14ac:dyDescent="0.3">
      <c r="A410" s="142"/>
      <c r="B410" s="95"/>
      <c r="C410" s="335"/>
      <c r="D410" s="143"/>
      <c r="E410" s="121"/>
      <c r="F410" s="122"/>
    </row>
    <row r="411" spans="1:6" s="12" customFormat="1" x14ac:dyDescent="0.3">
      <c r="A411" s="142"/>
      <c r="B411" s="95"/>
      <c r="C411" s="120"/>
      <c r="D411" s="143"/>
      <c r="E411" s="121"/>
      <c r="F411" s="122"/>
    </row>
    <row r="412" spans="1:6" s="12" customFormat="1" x14ac:dyDescent="0.3">
      <c r="A412" s="142"/>
      <c r="B412" s="95"/>
      <c r="C412" s="120"/>
      <c r="D412" s="143"/>
      <c r="E412" s="121"/>
      <c r="F412" s="122"/>
    </row>
    <row r="413" spans="1:6" s="12" customFormat="1" x14ac:dyDescent="0.3">
      <c r="A413" s="142"/>
      <c r="B413" s="95"/>
      <c r="C413" s="120"/>
      <c r="D413" s="143"/>
      <c r="E413" s="121"/>
      <c r="F413" s="122"/>
    </row>
    <row r="414" spans="1:6" s="12" customFormat="1" x14ac:dyDescent="0.3">
      <c r="A414" s="285"/>
      <c r="B414" s="97"/>
      <c r="C414" s="123"/>
      <c r="D414" s="290"/>
      <c r="E414" s="124"/>
      <c r="F414" s="125"/>
    </row>
    <row r="415" spans="1:6" s="12" customFormat="1" ht="3" hidden="1" customHeight="1" x14ac:dyDescent="0.3">
      <c r="A415" s="357" t="s">
        <v>113</v>
      </c>
      <c r="B415" s="353"/>
      <c r="C415" s="353"/>
      <c r="D415" s="354"/>
      <c r="E415" s="354"/>
      <c r="F415" s="354"/>
    </row>
    <row r="416" spans="1:6" s="12" customFormat="1" ht="18" hidden="1" x14ac:dyDescent="0.3">
      <c r="A416" s="375" t="s">
        <v>114</v>
      </c>
      <c r="B416" s="127"/>
      <c r="C416" s="283"/>
      <c r="D416" s="296"/>
      <c r="E416" s="128"/>
      <c r="F416" s="129"/>
    </row>
    <row r="417" spans="1:6" s="12" customFormat="1" hidden="1" x14ac:dyDescent="0.3">
      <c r="A417" s="371" t="s">
        <v>206</v>
      </c>
      <c r="B417" s="372" t="s">
        <v>207</v>
      </c>
      <c r="C417" s="366"/>
      <c r="D417" s="312" t="s">
        <v>146</v>
      </c>
      <c r="E417" s="369" t="s">
        <v>7</v>
      </c>
      <c r="F417" s="367"/>
    </row>
    <row r="418" spans="1:6" s="12" customFormat="1" hidden="1" x14ac:dyDescent="0.3">
      <c r="A418" s="145" t="s">
        <v>234</v>
      </c>
      <c r="B418" s="104">
        <v>305</v>
      </c>
      <c r="C418" s="279" t="s">
        <v>235</v>
      </c>
      <c r="D418" s="146" t="s">
        <v>236</v>
      </c>
      <c r="F418" s="130"/>
    </row>
    <row r="419" spans="1:6" s="12" customFormat="1" hidden="1" x14ac:dyDescent="0.3">
      <c r="A419" s="145" t="s">
        <v>237</v>
      </c>
      <c r="B419" s="104">
        <f>B418+180</f>
        <v>485</v>
      </c>
      <c r="C419" s="279" t="s">
        <v>235</v>
      </c>
      <c r="D419" s="146" t="s">
        <v>236</v>
      </c>
      <c r="F419" s="130"/>
    </row>
    <row r="420" spans="1:6" s="12" customFormat="1" hidden="1" x14ac:dyDescent="0.3">
      <c r="A420" s="145" t="s">
        <v>238</v>
      </c>
      <c r="B420" s="104">
        <f>B418+235</f>
        <v>540</v>
      </c>
      <c r="C420" s="279" t="s">
        <v>235</v>
      </c>
      <c r="D420" s="146" t="s">
        <v>236</v>
      </c>
      <c r="F420" s="130"/>
    </row>
    <row r="421" spans="1:6" s="12" customFormat="1" hidden="1" x14ac:dyDescent="0.3">
      <c r="A421" s="145" t="s">
        <v>239</v>
      </c>
      <c r="B421" s="104">
        <f>B418+625</f>
        <v>930</v>
      </c>
      <c r="C421" s="279" t="s">
        <v>235</v>
      </c>
      <c r="D421" s="146" t="s">
        <v>236</v>
      </c>
      <c r="F421" s="130"/>
    </row>
    <row r="422" spans="1:6" s="12" customFormat="1" hidden="1" x14ac:dyDescent="0.3">
      <c r="A422" s="145"/>
      <c r="B422" s="104"/>
      <c r="C422" s="279"/>
      <c r="D422" s="146"/>
      <c r="F422" s="130"/>
    </row>
    <row r="423" spans="1:6" s="12" customFormat="1" ht="14.1" hidden="1" customHeight="1" x14ac:dyDescent="0.3">
      <c r="A423" s="145"/>
      <c r="B423" s="104"/>
      <c r="C423" s="279"/>
      <c r="D423" s="146"/>
      <c r="F423" s="130"/>
    </row>
    <row r="424" spans="1:6" s="12" customFormat="1" hidden="1" x14ac:dyDescent="0.3">
      <c r="A424" s="145"/>
      <c r="B424" s="104"/>
      <c r="C424" s="279"/>
      <c r="D424" s="146"/>
      <c r="F424" s="130"/>
    </row>
    <row r="425" spans="1:6" s="12" customFormat="1" hidden="1" x14ac:dyDescent="0.3">
      <c r="A425" s="145" t="s">
        <v>240</v>
      </c>
      <c r="B425" s="104"/>
      <c r="C425" s="279"/>
      <c r="D425" s="146"/>
      <c r="F425" s="130"/>
    </row>
    <row r="426" spans="1:6" s="12" customFormat="1" hidden="1" x14ac:dyDescent="0.3">
      <c r="A426" s="145" t="s">
        <v>217</v>
      </c>
      <c r="B426" s="104"/>
      <c r="C426" s="279"/>
      <c r="D426" s="146"/>
      <c r="F426" s="130"/>
    </row>
    <row r="427" spans="1:6" s="12" customFormat="1" hidden="1" x14ac:dyDescent="0.3">
      <c r="A427" s="145" t="s">
        <v>219</v>
      </c>
      <c r="B427" s="104"/>
      <c r="C427" s="279"/>
      <c r="D427" s="146"/>
      <c r="F427" s="130"/>
    </row>
    <row r="428" spans="1:6" s="12" customFormat="1" hidden="1" x14ac:dyDescent="0.3">
      <c r="A428" s="145" t="s">
        <v>221</v>
      </c>
      <c r="B428" s="104"/>
      <c r="C428" s="279"/>
      <c r="D428" s="146"/>
      <c r="F428" s="130"/>
    </row>
    <row r="429" spans="1:6" s="12" customFormat="1" hidden="1" x14ac:dyDescent="0.3">
      <c r="A429" s="145"/>
      <c r="B429" s="104"/>
      <c r="C429" s="88"/>
      <c r="D429" s="146"/>
      <c r="F429" s="130"/>
    </row>
    <row r="430" spans="1:6" s="12" customFormat="1" hidden="1" x14ac:dyDescent="0.3">
      <c r="A430" s="145"/>
      <c r="B430" s="104"/>
      <c r="C430" s="88"/>
      <c r="D430" s="146"/>
      <c r="F430" s="130"/>
    </row>
    <row r="431" spans="1:6" s="12" customFormat="1" hidden="1" x14ac:dyDescent="0.3">
      <c r="A431" s="148"/>
      <c r="B431" s="109"/>
      <c r="C431" s="98"/>
      <c r="D431" s="149"/>
      <c r="E431" s="131"/>
      <c r="F431" s="132"/>
    </row>
    <row r="432" spans="1:6" s="12" customFormat="1" ht="18" hidden="1" x14ac:dyDescent="0.3">
      <c r="A432" s="382" t="s">
        <v>131</v>
      </c>
      <c r="B432" s="117"/>
      <c r="C432" s="383"/>
      <c r="D432" s="384"/>
      <c r="E432" s="118"/>
      <c r="F432" s="119"/>
    </row>
    <row r="433" spans="1:6" s="12" customFormat="1" hidden="1" x14ac:dyDescent="0.3">
      <c r="A433" s="371" t="s">
        <v>206</v>
      </c>
      <c r="B433" s="372" t="s">
        <v>207</v>
      </c>
      <c r="C433" s="366"/>
      <c r="D433" s="312" t="s">
        <v>146</v>
      </c>
      <c r="E433" s="369" t="s">
        <v>7</v>
      </c>
      <c r="F433" s="367"/>
    </row>
    <row r="434" spans="1:6" s="12" customFormat="1" hidden="1" x14ac:dyDescent="0.3">
      <c r="A434" s="142" t="s">
        <v>241</v>
      </c>
      <c r="B434" s="95">
        <v>75</v>
      </c>
      <c r="C434" s="335" t="s">
        <v>209</v>
      </c>
      <c r="D434" s="143" t="s">
        <v>242</v>
      </c>
      <c r="E434" s="461" t="s">
        <v>243</v>
      </c>
      <c r="F434" s="388"/>
    </row>
    <row r="435" spans="1:6" s="12" customFormat="1" hidden="1" x14ac:dyDescent="0.3">
      <c r="A435" s="142" t="s">
        <v>244</v>
      </c>
      <c r="B435" s="95">
        <f>B434*1.2</f>
        <v>90</v>
      </c>
      <c r="C435" s="335" t="s">
        <v>209</v>
      </c>
      <c r="D435" s="143"/>
      <c r="E435" s="121"/>
      <c r="F435" s="122"/>
    </row>
    <row r="436" spans="1:6" s="12" customFormat="1" hidden="1" x14ac:dyDescent="0.3">
      <c r="A436" s="1" t="s">
        <v>245</v>
      </c>
      <c r="B436" s="95">
        <f>B434*1.1</f>
        <v>82.5</v>
      </c>
      <c r="C436" s="335" t="s">
        <v>209</v>
      </c>
      <c r="D436" s="143"/>
      <c r="E436" s="121"/>
      <c r="F436" s="122"/>
    </row>
    <row r="437" spans="1:6" s="12" customFormat="1" hidden="1" x14ac:dyDescent="0.3">
      <c r="A437" s="142"/>
      <c r="B437" s="95"/>
      <c r="C437" s="335"/>
      <c r="D437" s="143"/>
      <c r="E437" s="121"/>
      <c r="F437" s="122"/>
    </row>
    <row r="438" spans="1:6" s="12" customFormat="1" ht="8.4499999999999993" hidden="1" customHeight="1" x14ac:dyDescent="0.3">
      <c r="A438" s="142" t="s">
        <v>240</v>
      </c>
      <c r="B438" s="95">
        <v>431.57</v>
      </c>
      <c r="C438" s="335" t="s">
        <v>209</v>
      </c>
      <c r="D438" s="143" t="s">
        <v>236</v>
      </c>
      <c r="E438" s="121"/>
      <c r="F438" s="122"/>
    </row>
    <row r="439" spans="1:6" s="12" customFormat="1" hidden="1" x14ac:dyDescent="0.3">
      <c r="A439" s="142" t="s">
        <v>217</v>
      </c>
      <c r="B439" s="95">
        <v>0</v>
      </c>
      <c r="C439" s="335" t="s">
        <v>209</v>
      </c>
      <c r="D439" s="143" t="s">
        <v>236</v>
      </c>
      <c r="E439" s="121"/>
      <c r="F439" s="122"/>
    </row>
    <row r="440" spans="1:6" s="12" customFormat="1" hidden="1" x14ac:dyDescent="0.3">
      <c r="A440" s="142" t="s">
        <v>219</v>
      </c>
      <c r="B440" s="95"/>
      <c r="C440" s="335" t="s">
        <v>209</v>
      </c>
      <c r="D440" s="143" t="s">
        <v>236</v>
      </c>
      <c r="E440" s="121"/>
      <c r="F440" s="122"/>
    </row>
    <row r="441" spans="1:6" s="12" customFormat="1" hidden="1" x14ac:dyDescent="0.3">
      <c r="A441" s="142" t="s">
        <v>221</v>
      </c>
      <c r="B441" s="95"/>
      <c r="C441" s="335" t="s">
        <v>209</v>
      </c>
      <c r="D441" s="143" t="s">
        <v>236</v>
      </c>
      <c r="E441" s="121"/>
      <c r="F441" s="122"/>
    </row>
    <row r="442" spans="1:6" s="12" customFormat="1" hidden="1" x14ac:dyDescent="0.3">
      <c r="A442" s="142"/>
      <c r="B442" s="95"/>
      <c r="C442" s="335"/>
      <c r="D442" s="143"/>
      <c r="E442" s="121"/>
      <c r="F442" s="122"/>
    </row>
    <row r="443" spans="1:6" s="12" customFormat="1" hidden="1" x14ac:dyDescent="0.3">
      <c r="A443" s="142"/>
      <c r="B443" s="95"/>
      <c r="C443" s="335"/>
      <c r="D443" s="143"/>
      <c r="E443" s="121"/>
      <c r="F443" s="122"/>
    </row>
    <row r="444" spans="1:6" s="12" customFormat="1" hidden="1" x14ac:dyDescent="0.3">
      <c r="A444" s="142" t="s">
        <v>246</v>
      </c>
      <c r="B444" s="95">
        <v>25</v>
      </c>
      <c r="C444" s="335" t="s">
        <v>209</v>
      </c>
      <c r="D444" s="143"/>
      <c r="E444" s="121"/>
      <c r="F444" s="122"/>
    </row>
    <row r="445" spans="1:6" s="12" customFormat="1" hidden="1" x14ac:dyDescent="0.3">
      <c r="A445" s="142"/>
      <c r="B445" s="95"/>
      <c r="C445" s="120"/>
      <c r="D445" s="143"/>
      <c r="E445" s="121"/>
      <c r="F445" s="122"/>
    </row>
    <row r="446" spans="1:6" s="12" customFormat="1" hidden="1" x14ac:dyDescent="0.3">
      <c r="A446" s="142"/>
      <c r="B446" s="95"/>
      <c r="C446" s="120"/>
      <c r="D446" s="143"/>
      <c r="E446" s="121"/>
      <c r="F446" s="122"/>
    </row>
    <row r="447" spans="1:6" s="12" customFormat="1" hidden="1" x14ac:dyDescent="0.3">
      <c r="A447" s="285"/>
      <c r="B447" s="97"/>
      <c r="C447" s="123"/>
      <c r="D447" s="290"/>
      <c r="E447" s="124"/>
      <c r="F447" s="125"/>
    </row>
    <row r="448" spans="1:6" s="12" customFormat="1" ht="18" hidden="1" x14ac:dyDescent="0.3">
      <c r="A448" s="376" t="s">
        <v>137</v>
      </c>
      <c r="B448" s="127"/>
      <c r="C448" s="283"/>
      <c r="D448" s="296"/>
      <c r="E448" s="128"/>
      <c r="F448" s="129"/>
    </row>
    <row r="449" spans="1:6" s="12" customFormat="1" hidden="1" x14ac:dyDescent="0.3">
      <c r="A449" s="371" t="s">
        <v>206</v>
      </c>
      <c r="B449" s="372" t="s">
        <v>207</v>
      </c>
      <c r="C449" s="366"/>
      <c r="D449" s="312" t="s">
        <v>146</v>
      </c>
      <c r="E449" s="369" t="s">
        <v>7</v>
      </c>
      <c r="F449" s="367"/>
    </row>
    <row r="450" spans="1:6" s="12" customFormat="1" hidden="1" x14ac:dyDescent="0.3">
      <c r="A450" s="145" t="s">
        <v>247</v>
      </c>
      <c r="B450" s="104"/>
      <c r="C450" s="279"/>
      <c r="D450" s="146"/>
      <c r="F450" s="130"/>
    </row>
    <row r="451" spans="1:6" s="12" customFormat="1" hidden="1" x14ac:dyDescent="0.3">
      <c r="A451" s="145" t="s">
        <v>241</v>
      </c>
      <c r="B451" s="104">
        <v>830</v>
      </c>
      <c r="C451" s="279" t="s">
        <v>248</v>
      </c>
      <c r="D451" s="146" t="s">
        <v>242</v>
      </c>
      <c r="E451" s="2" t="s">
        <v>249</v>
      </c>
      <c r="F451" s="130"/>
    </row>
    <row r="452" spans="1:6" s="12" customFormat="1" hidden="1" x14ac:dyDescent="0.3">
      <c r="A452" s="145" t="s">
        <v>250</v>
      </c>
      <c r="B452" s="104">
        <f>B451*1.4</f>
        <v>1162</v>
      </c>
      <c r="C452" s="279" t="s">
        <v>248</v>
      </c>
      <c r="D452" s="146"/>
      <c r="F452" s="130"/>
    </row>
    <row r="453" spans="1:6" s="12" customFormat="1" hidden="1" x14ac:dyDescent="0.3">
      <c r="A453" s="145"/>
      <c r="B453" s="104"/>
      <c r="C453" s="279"/>
      <c r="D453" s="146"/>
      <c r="F453" s="130"/>
    </row>
    <row r="454" spans="1:6" s="12" customFormat="1" hidden="1" x14ac:dyDescent="0.3">
      <c r="A454" s="145"/>
      <c r="B454" s="104"/>
      <c r="C454" s="279"/>
      <c r="D454" s="146"/>
      <c r="F454" s="130"/>
    </row>
    <row r="455" spans="1:6" s="12" customFormat="1" hidden="1" x14ac:dyDescent="0.3">
      <c r="A455" s="145" t="s">
        <v>240</v>
      </c>
      <c r="B455" s="104"/>
      <c r="C455" s="279" t="s">
        <v>248</v>
      </c>
      <c r="D455" s="146"/>
      <c r="F455" s="130"/>
    </row>
    <row r="456" spans="1:6" s="12" customFormat="1" hidden="1" x14ac:dyDescent="0.3">
      <c r="A456" s="145" t="s">
        <v>217</v>
      </c>
      <c r="B456" s="104">
        <v>0</v>
      </c>
      <c r="C456" s="279" t="s">
        <v>248</v>
      </c>
      <c r="D456" s="146"/>
      <c r="F456" s="130"/>
    </row>
    <row r="457" spans="1:6" s="12" customFormat="1" hidden="1" x14ac:dyDescent="0.3">
      <c r="A457" s="145" t="s">
        <v>219</v>
      </c>
      <c r="B457" s="104"/>
      <c r="C457" s="279" t="s">
        <v>248</v>
      </c>
      <c r="D457" s="146"/>
      <c r="F457" s="130"/>
    </row>
    <row r="458" spans="1:6" s="12" customFormat="1" hidden="1" x14ac:dyDescent="0.3">
      <c r="A458" s="145" t="s">
        <v>221</v>
      </c>
      <c r="B458" s="104"/>
      <c r="C458" s="279"/>
      <c r="D458" s="146"/>
      <c r="F458" s="130"/>
    </row>
    <row r="459" spans="1:6" s="12" customFormat="1" hidden="1" x14ac:dyDescent="0.3">
      <c r="A459" s="145"/>
      <c r="B459" s="104"/>
      <c r="C459" s="279"/>
      <c r="D459" s="146"/>
      <c r="F459" s="130"/>
    </row>
    <row r="460" spans="1:6" s="12" customFormat="1" hidden="1" x14ac:dyDescent="0.3">
      <c r="A460" s="145"/>
      <c r="B460" s="104"/>
      <c r="C460" s="279"/>
      <c r="D460" s="146"/>
      <c r="F460" s="130"/>
    </row>
    <row r="461" spans="1:6" s="12" customFormat="1" hidden="1" x14ac:dyDescent="0.3">
      <c r="A461" s="145" t="s">
        <v>251</v>
      </c>
      <c r="B461" s="104"/>
      <c r="C461" s="279"/>
      <c r="D461" s="146"/>
      <c r="F461" s="130"/>
    </row>
    <row r="462" spans="1:6" s="12" customFormat="1" hidden="1" x14ac:dyDescent="0.3">
      <c r="A462" s="145" t="s">
        <v>241</v>
      </c>
      <c r="B462" s="104">
        <f>250</f>
        <v>250</v>
      </c>
      <c r="C462" s="279" t="s">
        <v>209</v>
      </c>
      <c r="D462" s="146"/>
      <c r="F462" s="130"/>
    </row>
    <row r="463" spans="1:6" s="12" customFormat="1" hidden="1" x14ac:dyDescent="0.3">
      <c r="A463" s="145" t="s">
        <v>252</v>
      </c>
      <c r="B463" s="104">
        <f>B462*1.1</f>
        <v>275</v>
      </c>
      <c r="C463" s="279" t="s">
        <v>209</v>
      </c>
      <c r="D463" s="146"/>
      <c r="F463" s="130"/>
    </row>
    <row r="464" spans="1:6" s="12" customFormat="1" hidden="1" x14ac:dyDescent="0.3">
      <c r="A464" s="145"/>
      <c r="B464" s="104"/>
      <c r="C464" s="279"/>
      <c r="D464" s="146"/>
      <c r="F464" s="130"/>
    </row>
    <row r="465" spans="1:6" s="12" customFormat="1" hidden="1" x14ac:dyDescent="0.3">
      <c r="A465" s="145" t="s">
        <v>253</v>
      </c>
      <c r="B465" s="104">
        <v>300</v>
      </c>
      <c r="C465" s="279" t="s">
        <v>209</v>
      </c>
      <c r="D465" s="146"/>
      <c r="F465" s="130"/>
    </row>
    <row r="466" spans="1:6" s="12" customFormat="1" hidden="1" x14ac:dyDescent="0.3">
      <c r="A466" s="145" t="s">
        <v>217</v>
      </c>
      <c r="B466" s="104">
        <v>0</v>
      </c>
      <c r="C466" s="279" t="s">
        <v>209</v>
      </c>
      <c r="D466" s="146"/>
      <c r="F466" s="130"/>
    </row>
    <row r="467" spans="1:6" s="12" customFormat="1" hidden="1" x14ac:dyDescent="0.3">
      <c r="A467" s="145" t="s">
        <v>219</v>
      </c>
      <c r="B467" s="104"/>
      <c r="C467" s="279" t="s">
        <v>209</v>
      </c>
      <c r="D467" s="146"/>
      <c r="F467" s="130"/>
    </row>
    <row r="468" spans="1:6" s="12" customFormat="1" hidden="1" x14ac:dyDescent="0.3">
      <c r="A468" s="145" t="s">
        <v>221</v>
      </c>
      <c r="B468" s="104"/>
      <c r="C468" s="279"/>
      <c r="D468" s="146"/>
      <c r="F468" s="130"/>
    </row>
    <row r="469" spans="1:6" s="12" customFormat="1" hidden="1" x14ac:dyDescent="0.3">
      <c r="A469" s="145"/>
      <c r="B469" s="104"/>
      <c r="C469" s="279"/>
      <c r="D469" s="146"/>
      <c r="F469" s="130"/>
    </row>
    <row r="470" spans="1:6" s="12" customFormat="1" hidden="1" x14ac:dyDescent="0.3">
      <c r="A470" s="148"/>
      <c r="B470" s="109"/>
      <c r="C470" s="282"/>
      <c r="D470" s="149"/>
      <c r="E470" s="131"/>
      <c r="F470" s="132"/>
    </row>
    <row r="471" spans="1:6" s="12" customFormat="1" ht="13.5" hidden="1" customHeight="1" x14ac:dyDescent="0.3">
      <c r="A471" s="88"/>
      <c r="B471" s="88"/>
      <c r="C471" s="279"/>
    </row>
    <row r="472" spans="1:6" s="12" customFormat="1" ht="14.25" customHeight="1" x14ac:dyDescent="0.3">
      <c r="A472" s="88"/>
      <c r="B472" s="88"/>
      <c r="C472" s="279"/>
    </row>
    <row r="473" spans="1:6" s="12" customFormat="1" ht="20.25" x14ac:dyDescent="0.3">
      <c r="A473" s="389" t="s">
        <v>254</v>
      </c>
      <c r="B473" s="133"/>
      <c r="C473" s="390"/>
      <c r="D473" s="361"/>
      <c r="E473" s="126"/>
      <c r="F473" s="134"/>
    </row>
    <row r="474" spans="1:6" s="12" customFormat="1" ht="33" x14ac:dyDescent="0.3">
      <c r="A474" s="145" t="s">
        <v>255</v>
      </c>
      <c r="B474" s="88" t="s">
        <v>256</v>
      </c>
      <c r="C474" s="279"/>
      <c r="D474" s="146"/>
      <c r="F474" s="130"/>
    </row>
    <row r="475" spans="1:6" s="12" customFormat="1" ht="33" x14ac:dyDescent="0.3">
      <c r="A475" s="145" t="s">
        <v>257</v>
      </c>
      <c r="B475" s="88" t="s">
        <v>258</v>
      </c>
      <c r="C475" s="279"/>
      <c r="D475" s="146"/>
      <c r="F475" s="130"/>
    </row>
    <row r="476" spans="1:6" s="12" customFormat="1" x14ac:dyDescent="0.3">
      <c r="A476" s="145"/>
      <c r="B476" s="88"/>
      <c r="C476" s="279"/>
      <c r="D476" s="146"/>
      <c r="F476" s="130"/>
    </row>
    <row r="477" spans="1:6" s="12" customFormat="1" ht="33" x14ac:dyDescent="0.3">
      <c r="A477" s="145" t="s">
        <v>259</v>
      </c>
      <c r="B477" s="88" t="s">
        <v>256</v>
      </c>
      <c r="C477" s="279"/>
      <c r="D477" s="146"/>
      <c r="F477" s="130"/>
    </row>
    <row r="478" spans="1:6" s="12" customFormat="1" ht="33" x14ac:dyDescent="0.3">
      <c r="A478" s="145" t="s">
        <v>260</v>
      </c>
      <c r="B478" s="88" t="s">
        <v>258</v>
      </c>
      <c r="C478" s="279"/>
      <c r="D478" s="146"/>
      <c r="F478" s="130"/>
    </row>
    <row r="479" spans="1:6" s="12" customFormat="1" x14ac:dyDescent="0.3">
      <c r="A479" s="145"/>
      <c r="B479" s="88"/>
      <c r="C479" s="279"/>
      <c r="D479" s="146"/>
      <c r="F479" s="130"/>
    </row>
    <row r="480" spans="1:6" s="12" customFormat="1" ht="33" x14ac:dyDescent="0.3">
      <c r="A480" s="145" t="s">
        <v>261</v>
      </c>
      <c r="B480" s="88" t="s">
        <v>256</v>
      </c>
      <c r="C480" s="279"/>
      <c r="D480" s="146"/>
      <c r="F480" s="130"/>
    </row>
    <row r="481" spans="1:10" s="12" customFormat="1" ht="33" x14ac:dyDescent="0.3">
      <c r="A481" s="145" t="s">
        <v>262</v>
      </c>
      <c r="B481" s="88" t="s">
        <v>258</v>
      </c>
      <c r="C481" s="279"/>
      <c r="D481" s="146"/>
      <c r="F481" s="130"/>
    </row>
    <row r="482" spans="1:10" s="12" customFormat="1" x14ac:dyDescent="0.3">
      <c r="A482" s="148"/>
      <c r="B482" s="98"/>
      <c r="C482" s="282"/>
      <c r="D482" s="149"/>
      <c r="E482" s="131"/>
      <c r="F482" s="132"/>
    </row>
    <row r="483" spans="1:10" s="12" customFormat="1" x14ac:dyDescent="0.3">
      <c r="A483" s="88"/>
      <c r="B483" s="88"/>
      <c r="C483" s="139"/>
    </row>
    <row r="484" spans="1:10" s="12" customFormat="1" x14ac:dyDescent="0.3">
      <c r="A484" s="88"/>
      <c r="B484" s="88"/>
      <c r="C484" s="139"/>
    </row>
    <row r="485" spans="1:10" s="12" customFormat="1" x14ac:dyDescent="0.3">
      <c r="A485" s="88"/>
      <c r="B485" s="88"/>
      <c r="C485" s="139"/>
    </row>
    <row r="486" spans="1:10" s="12" customFormat="1" x14ac:dyDescent="0.3">
      <c r="A486" s="88"/>
      <c r="B486" s="88"/>
      <c r="C486" s="139"/>
    </row>
    <row r="487" spans="1:10" s="12" customFormat="1" x14ac:dyDescent="0.3">
      <c r="A487" s="88"/>
      <c r="B487" s="88"/>
      <c r="C487" s="88"/>
    </row>
    <row r="488" spans="1:10" ht="39" customHeight="1" x14ac:dyDescent="0.3">
      <c r="A488" s="88"/>
      <c r="B488" s="88"/>
      <c r="C488" s="88"/>
      <c r="D488" s="12"/>
      <c r="E488" s="12"/>
      <c r="F488" s="12"/>
      <c r="G488" s="12"/>
      <c r="H488" s="12"/>
      <c r="I488" s="12"/>
      <c r="J488" s="12"/>
    </row>
    <row r="489" spans="1:10" ht="11.1" hidden="1" customHeight="1" x14ac:dyDescent="0.3">
      <c r="A489" s="150" t="s">
        <v>263</v>
      </c>
      <c r="B489" s="151"/>
      <c r="C489" s="151"/>
      <c r="D489" s="152"/>
      <c r="E489" s="152"/>
      <c r="F489" s="152"/>
      <c r="G489" s="152"/>
      <c r="H489" s="152"/>
      <c r="I489" s="152"/>
      <c r="J489" s="152"/>
    </row>
    <row r="490" spans="1:10" hidden="1" x14ac:dyDescent="0.3">
      <c r="A490" s="88" t="s">
        <v>264</v>
      </c>
      <c r="B490" s="88" t="s">
        <v>101</v>
      </c>
      <c r="C490" s="88"/>
      <c r="D490" s="12"/>
      <c r="E490" s="12"/>
      <c r="F490" s="12"/>
      <c r="G490" s="12"/>
      <c r="H490" s="12"/>
      <c r="I490" s="12"/>
      <c r="J490" s="12"/>
    </row>
    <row r="491" spans="1:10" ht="49.5" hidden="1" x14ac:dyDescent="0.3">
      <c r="A491" s="88"/>
      <c r="B491" s="88" t="s">
        <v>265</v>
      </c>
      <c r="C491" s="88" t="s">
        <v>266</v>
      </c>
      <c r="D491" s="12"/>
      <c r="E491" s="12"/>
      <c r="F491" s="12"/>
      <c r="G491" s="12"/>
      <c r="H491" s="12"/>
      <c r="I491" s="12"/>
      <c r="J491" s="12"/>
    </row>
    <row r="492" spans="1:10" hidden="1" x14ac:dyDescent="0.3">
      <c r="A492" s="88"/>
      <c r="B492" s="88"/>
      <c r="C492" s="88"/>
      <c r="D492" s="12"/>
      <c r="E492" s="12"/>
      <c r="F492" s="12"/>
      <c r="G492" s="12"/>
      <c r="H492" s="12"/>
      <c r="I492" s="12"/>
      <c r="J492" s="12"/>
    </row>
    <row r="493" spans="1:10" hidden="1" x14ac:dyDescent="0.3">
      <c r="A493" s="88"/>
      <c r="B493" s="88"/>
      <c r="C493" s="88"/>
      <c r="D493" s="12"/>
      <c r="E493" s="12"/>
      <c r="F493" s="12"/>
      <c r="G493" s="12"/>
      <c r="H493" s="12"/>
      <c r="I493" s="12"/>
      <c r="J493" s="12"/>
    </row>
    <row r="494" spans="1:10" hidden="1" x14ac:dyDescent="0.3">
      <c r="A494" s="88"/>
      <c r="B494" s="88"/>
      <c r="C494" s="88"/>
      <c r="D494" s="12"/>
      <c r="E494" s="12"/>
      <c r="F494" s="12"/>
      <c r="G494" s="12"/>
      <c r="H494" s="12"/>
      <c r="I494" s="12"/>
      <c r="J494" s="12"/>
    </row>
    <row r="495" spans="1:10" hidden="1" x14ac:dyDescent="0.3">
      <c r="A495" s="88"/>
      <c r="B495" s="88"/>
      <c r="C495" s="88"/>
      <c r="D495" s="12"/>
      <c r="E495" s="12"/>
      <c r="F495" s="12"/>
      <c r="G495" s="12"/>
      <c r="H495" s="12"/>
      <c r="I495" s="12"/>
      <c r="J495" s="12"/>
    </row>
    <row r="496" spans="1:10" hidden="1" x14ac:dyDescent="0.3">
      <c r="A496" s="88"/>
      <c r="B496" s="88"/>
      <c r="C496" s="88"/>
      <c r="D496" s="12"/>
      <c r="E496" s="12"/>
      <c r="F496" s="12"/>
      <c r="G496" s="12"/>
      <c r="H496" s="12"/>
      <c r="I496" s="12"/>
      <c r="J496" s="12"/>
    </row>
    <row r="497" spans="1:10" hidden="1" x14ac:dyDescent="0.3">
      <c r="A497" s="88"/>
      <c r="B497" s="88"/>
      <c r="C497" s="88"/>
      <c r="D497" s="12"/>
      <c r="E497" s="12"/>
      <c r="F497" s="12"/>
      <c r="G497" s="12"/>
      <c r="H497" s="12"/>
      <c r="I497" s="12"/>
      <c r="J497" s="12"/>
    </row>
    <row r="498" spans="1:10" hidden="1" x14ac:dyDescent="0.3">
      <c r="A498" s="88"/>
      <c r="B498" s="88"/>
      <c r="C498" s="88"/>
      <c r="D498" s="12"/>
      <c r="E498" s="12"/>
      <c r="F498" s="12"/>
      <c r="G498" s="12"/>
      <c r="H498" s="12"/>
      <c r="I498" s="12"/>
      <c r="J498" s="12"/>
    </row>
    <row r="499" spans="1:10" hidden="1" x14ac:dyDescent="0.3">
      <c r="A499" s="88"/>
      <c r="B499" s="88"/>
      <c r="C499" s="88"/>
      <c r="D499" s="12"/>
      <c r="E499" s="12"/>
      <c r="F499" s="12"/>
      <c r="G499" s="12"/>
      <c r="H499" s="12"/>
      <c r="I499" s="12"/>
      <c r="J499" s="12"/>
    </row>
    <row r="500" spans="1:10" hidden="1" x14ac:dyDescent="0.3">
      <c r="A500" s="88"/>
      <c r="B500" s="88"/>
      <c r="C500" s="88"/>
      <c r="D500" s="12"/>
      <c r="E500" s="12"/>
      <c r="F500" s="12"/>
      <c r="G500" s="12"/>
      <c r="H500" s="12"/>
      <c r="I500" s="12"/>
      <c r="J500" s="12"/>
    </row>
    <row r="501" spans="1:10" hidden="1" x14ac:dyDescent="0.3">
      <c r="A501" s="88"/>
      <c r="B501" s="88"/>
      <c r="C501" s="88"/>
      <c r="D501" s="12"/>
      <c r="E501" s="12"/>
      <c r="F501" s="12"/>
      <c r="G501" s="12"/>
      <c r="H501" s="12"/>
      <c r="I501" s="12"/>
      <c r="J501" s="12"/>
    </row>
    <row r="502" spans="1:10" hidden="1" x14ac:dyDescent="0.3">
      <c r="A502" s="88"/>
      <c r="B502" s="88"/>
      <c r="C502" s="88"/>
      <c r="D502" s="12"/>
      <c r="E502" s="12"/>
      <c r="F502" s="12"/>
      <c r="G502" s="12"/>
      <c r="H502" s="12"/>
      <c r="I502" s="12"/>
      <c r="J502" s="12"/>
    </row>
    <row r="503" spans="1:10" ht="27.75" customHeight="1" x14ac:dyDescent="0.3">
      <c r="A503" s="88"/>
      <c r="B503" s="88"/>
      <c r="C503" s="88"/>
      <c r="D503" s="12"/>
      <c r="E503" s="12"/>
      <c r="F503" s="12"/>
      <c r="G503" s="12"/>
      <c r="H503" s="12"/>
      <c r="I503" s="12"/>
      <c r="J503" s="12"/>
    </row>
    <row r="504" spans="1:10" ht="29.25" customHeight="1" x14ac:dyDescent="0.3">
      <c r="A504" s="88"/>
      <c r="B504" s="88"/>
      <c r="C504" s="88"/>
      <c r="D504" s="12"/>
      <c r="E504" s="12"/>
      <c r="F504" s="12"/>
      <c r="G504" s="12"/>
      <c r="H504" s="12"/>
      <c r="I504" s="12"/>
      <c r="J504" s="12"/>
    </row>
    <row r="505" spans="1:10" ht="47.25" customHeight="1" x14ac:dyDescent="0.3"/>
    <row r="506" spans="1:10" ht="98.25" customHeight="1" x14ac:dyDescent="0.3">
      <c r="C506" s="154"/>
    </row>
  </sheetData>
  <mergeCells count="5">
    <mergeCell ref="E213:E221"/>
    <mergeCell ref="D255:D261"/>
    <mergeCell ref="D247:D250"/>
    <mergeCell ref="E205:E208"/>
    <mergeCell ref="E209:E212"/>
  </mergeCells>
  <phoneticPr fontId="8" type="noConversion"/>
  <conditionalFormatting sqref="G30">
    <cfRule type="expression" priority="1">
      <formula>"$G$30=Argumenter!$B$49"</formula>
    </cfRule>
  </conditionalFormatting>
  <hyperlinks>
    <hyperlink ref="G141" r:id="rId1" xr:uid="{00000000-0004-0000-0900-000000000000}"/>
    <hyperlink ref="D331" r:id="rId2" xr:uid="{00000000-0004-0000-0900-000001000000}"/>
    <hyperlink ref="D327" r:id="rId3" xr:uid="{AC55B815-165E-4AE2-B308-7A85AA4B084B}"/>
  </hyperlinks>
  <pageMargins left="0.7" right="0.7" top="0.75" bottom="0.75" header="0.3" footer="0.3"/>
  <pageSetup paperSize="9" orientation="portrait" r:id="rId4"/>
  <drawing r:id="rId5"/>
  <legacyDrawing r:id="rId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4">
    <tabColor theme="0"/>
  </sheetPr>
  <dimension ref="A3:AE25"/>
  <sheetViews>
    <sheetView topLeftCell="L1" zoomScale="70" zoomScaleNormal="70" workbookViewId="0">
      <selection activeCell="P6" sqref="P6"/>
    </sheetView>
  </sheetViews>
  <sheetFormatPr defaultColWidth="9.140625" defaultRowHeight="16.5" x14ac:dyDescent="0.3"/>
  <cols>
    <col min="1" max="1" width="9.140625" style="2"/>
    <col min="2" max="2" width="15.42578125" style="2" customWidth="1"/>
    <col min="3" max="3" width="26.42578125" style="2" customWidth="1"/>
    <col min="4" max="4" width="27.5703125" style="2" customWidth="1"/>
    <col min="5" max="5" width="20.85546875" style="2" customWidth="1"/>
    <col min="6" max="7" width="18" style="2" bestFit="1" customWidth="1"/>
    <col min="8" max="8" width="12.85546875" style="2" customWidth="1"/>
    <col min="9" max="9" width="38.42578125" style="2" customWidth="1"/>
    <col min="10" max="10" width="20.5703125" style="2" customWidth="1"/>
    <col min="11" max="11" width="15.85546875" style="2" customWidth="1"/>
    <col min="12" max="12" width="2.7109375" style="2" customWidth="1"/>
    <col min="13" max="13" width="22.42578125" style="2" bestFit="1" customWidth="1"/>
    <col min="14" max="14" width="17.28515625" style="2" customWidth="1"/>
    <col min="15" max="16" width="18" style="2" bestFit="1" customWidth="1"/>
    <col min="17" max="17" width="13.5703125" style="2" customWidth="1"/>
    <col min="18" max="18" width="28.7109375" style="2" customWidth="1"/>
    <col min="19" max="19" width="18.28515625" style="2" customWidth="1"/>
    <col min="20" max="20" width="17.42578125" style="2" customWidth="1"/>
    <col min="21" max="21" width="16.140625" style="2" customWidth="1"/>
    <col min="22" max="22" width="21.42578125" style="2" customWidth="1"/>
    <col min="23" max="23" width="22.85546875" style="2" customWidth="1"/>
    <col min="24" max="25" width="18" style="2" bestFit="1" customWidth="1"/>
    <col min="26" max="26" width="18" style="2" customWidth="1"/>
    <col min="27" max="27" width="26.5703125" style="2" customWidth="1"/>
    <col min="28" max="28" width="19.7109375" style="2" customWidth="1"/>
    <col min="29" max="29" width="25" style="2" customWidth="1"/>
    <col min="30" max="30" width="17.85546875" style="2" customWidth="1"/>
    <col min="31" max="31" width="10.7109375" style="2" customWidth="1"/>
    <col min="32" max="16384" width="9.140625" style="2"/>
  </cols>
  <sheetData>
    <row r="3" spans="1:31" ht="36" customHeight="1" x14ac:dyDescent="0.3">
      <c r="A3" s="605" t="s">
        <v>178</v>
      </c>
      <c r="D3" s="607" t="s">
        <v>8</v>
      </c>
      <c r="E3" s="608"/>
      <c r="F3" s="608"/>
      <c r="G3" s="608"/>
      <c r="H3" s="608"/>
      <c r="I3" s="608"/>
      <c r="J3" s="608"/>
      <c r="K3" s="609"/>
      <c r="L3" s="10"/>
      <c r="M3" s="607" t="s">
        <v>21</v>
      </c>
      <c r="N3" s="608"/>
      <c r="O3" s="608"/>
      <c r="P3" s="608"/>
      <c r="Q3" s="608"/>
      <c r="R3" s="608"/>
      <c r="S3" s="608"/>
      <c r="T3" s="609"/>
      <c r="U3" s="10"/>
      <c r="V3" s="607" t="s">
        <v>25</v>
      </c>
      <c r="W3" s="608"/>
      <c r="X3" s="608"/>
      <c r="Y3" s="608"/>
      <c r="Z3" s="608"/>
      <c r="AA3" s="608"/>
      <c r="AB3" s="608"/>
      <c r="AC3" s="609"/>
    </row>
    <row r="4" spans="1:31" ht="44.25" customHeight="1" x14ac:dyDescent="0.3">
      <c r="A4" s="605"/>
      <c r="C4" s="155" t="s">
        <v>267</v>
      </c>
      <c r="D4" s="398" t="s">
        <v>268</v>
      </c>
      <c r="E4" s="399" t="s">
        <v>269</v>
      </c>
      <c r="F4" s="399" t="s">
        <v>270</v>
      </c>
      <c r="G4" s="399" t="s">
        <v>271</v>
      </c>
      <c r="H4" s="400" t="s">
        <v>272</v>
      </c>
      <c r="I4" s="400" t="s">
        <v>273</v>
      </c>
      <c r="J4" s="400" t="s">
        <v>274</v>
      </c>
      <c r="K4" s="401" t="s">
        <v>80</v>
      </c>
      <c r="L4" s="15"/>
      <c r="M4" s="398" t="s">
        <v>268</v>
      </c>
      <c r="N4" s="399" t="s">
        <v>269</v>
      </c>
      <c r="O4" s="399" t="s">
        <v>270</v>
      </c>
      <c r="P4" s="400" t="s">
        <v>271</v>
      </c>
      <c r="Q4" s="400" t="s">
        <v>272</v>
      </c>
      <c r="R4" s="400" t="s">
        <v>275</v>
      </c>
      <c r="S4" s="400" t="s">
        <v>274</v>
      </c>
      <c r="T4" s="401" t="s">
        <v>80</v>
      </c>
      <c r="U4" s="15"/>
      <c r="V4" s="398" t="s">
        <v>268</v>
      </c>
      <c r="W4" s="399" t="s">
        <v>269</v>
      </c>
      <c r="X4" s="399" t="s">
        <v>270</v>
      </c>
      <c r="Y4" s="399" t="s">
        <v>271</v>
      </c>
      <c r="Z4" s="400" t="s">
        <v>272</v>
      </c>
      <c r="AA4" s="400" t="s">
        <v>275</v>
      </c>
      <c r="AB4" s="400" t="s">
        <v>274</v>
      </c>
      <c r="AC4" s="401" t="s">
        <v>80</v>
      </c>
    </row>
    <row r="5" spans="1:31" ht="20.25" x14ac:dyDescent="0.3">
      <c r="A5" s="605"/>
      <c r="C5" s="158"/>
      <c r="D5" s="156"/>
      <c r="E5" s="15"/>
      <c r="F5" s="15"/>
      <c r="G5" s="15" t="s">
        <v>47</v>
      </c>
      <c r="H5" s="15"/>
      <c r="I5" s="15"/>
      <c r="J5" s="15"/>
      <c r="K5" s="157" t="s">
        <v>45</v>
      </c>
      <c r="L5" s="15"/>
      <c r="M5" s="156"/>
      <c r="N5" s="15"/>
      <c r="O5" s="15"/>
      <c r="P5" s="114" t="s">
        <v>276</v>
      </c>
      <c r="Q5" s="15"/>
      <c r="R5" s="15"/>
      <c r="S5" s="15"/>
      <c r="T5" s="157" t="s">
        <v>45</v>
      </c>
      <c r="U5" s="15"/>
      <c r="V5" s="156"/>
      <c r="W5" s="15"/>
      <c r="X5" s="15"/>
      <c r="Y5" s="114" t="s">
        <v>276</v>
      </c>
      <c r="Z5" s="15"/>
      <c r="AA5" s="15"/>
      <c r="AB5" s="15"/>
      <c r="AC5" s="157" t="s">
        <v>45</v>
      </c>
    </row>
    <row r="6" spans="1:31" ht="132" x14ac:dyDescent="0.3">
      <c r="A6" s="605"/>
      <c r="C6" s="159" t="s">
        <v>167</v>
      </c>
      <c r="D6" s="160" t="s">
        <v>277</v>
      </c>
      <c r="E6" s="10" t="e" cm="1">
        <f t="array" ref="E6">_xlfn.IFS(AND(INPUT!H7=Argumenter!C132),Argumenter!B490,AND(INPUT!H7=Argumenter!D132),Argumenter!B490,AND(INPUT!H7=Argumenter!C133),Argumenter!B491,AND(INPUT!H7=Argumenter!C134),Argumenter!B491)</f>
        <v>#N/A</v>
      </c>
      <c r="F6" s="10" t="e" cm="1">
        <f t="array" ref="F6">(_xlfn.IFS(AND(E6=Argumenter!B490),C6,AND(E6=Argumenter!B491),"-"))</f>
        <v>#N/A</v>
      </c>
      <c r="G6" s="161" t="e" cm="1">
        <f t="array" ref="G6">(_xlfn.IFS(AND(E6=Argumenter!B490),Materialeoutput!I9*Argumenter!C206,AND(E6=Argumenter!B491),"-"))</f>
        <v>#N/A</v>
      </c>
      <c r="H6" s="162" t="e" cm="1">
        <f t="array" ref="H6">(_xlfn.IFS(AND(E6=Argumenter!B490),_xlfn.CONCAT(Argumenter!C206*100,"-",Argumenter!D206*100),AND(E6=Argumenter!B491),"-"))</f>
        <v>#N/A</v>
      </c>
      <c r="I6" s="163" t="s">
        <v>278</v>
      </c>
      <c r="J6" s="164" t="e" cm="1">
        <f t="array" ref="J6">(_xlfn.IFS(AND(E6=Argumenter!B490),Argumenter!C248*100,AND(E6=Argumenter!B491),"-"))</f>
        <v>#N/A</v>
      </c>
      <c r="K6" s="165" t="e" cm="1">
        <f t="array" ref="K6">(_xlfn.IFS(AND(E6=Argumenter!B490),Materialeoutput!F9*Argumenter!C286,AND(E6=Argumenter!B491),"-"))</f>
        <v>#N/A</v>
      </c>
      <c r="M6" s="166" t="s">
        <v>279</v>
      </c>
      <c r="N6" s="10" t="str" cm="1">
        <f t="array" ref="N6">_xlfn.IFS(AND(INPUT!G12&gt;=Argumenter!C141,INPUT!H12&gt;=Argumenter!C148),Argumenter!B490,AND(INPUT!G12&gt;=Argumenter!C141,INPUT!H12&lt;=Argumenter!C148),Argumenter!B491,AND(INPUT!G12&lt;=Argumenter!C141,INPUT!H12&gt;=Argumenter!C148),Argumenter!B491,AND(INPUT!G12&lt;Argumenter!C141,INPUT!H12&lt;=Argumenter!C148),Argumenter!B491)</f>
        <v>Ja</v>
      </c>
      <c r="O6" s="10" t="str" cm="1">
        <f t="array" ref="O6">(_xlfn.IFS(AND(N6=Argumenter!B490),C6,AND(N6=Argumenter!B491),"-"))</f>
        <v>Genbrug</v>
      </c>
      <c r="P6" s="161" cm="1">
        <f t="array" ref="P6">(_xlfn.IFS(AND(N6=Argumenter!B490),Materialeoutput!I11*Argumenter!C210,AND(N6=Argumenter!B491),"-"))</f>
        <v>0</v>
      </c>
      <c r="Q6" s="164" t="str" cm="1">
        <f t="array" ref="Q6">(_xlfn.IFS(AND(N6=Argumenter!B490),_xlfn.CONCAT(Argumenter!C210*100,"-",Argumenter!D210*100),AND(N6=Argumenter!B491),"-"))</f>
        <v>95-100</v>
      </c>
      <c r="R6" s="163" t="str" cm="1">
        <f t="array" ref="R6">(_xlfn.IFS(AND(N6=Argumenter!B490),"CO2-besparelsen vil altid være projektafhængig, og kan afhængige en smule af montering og valg/genbrug af type ramme og karm",AND(N6=Argumenter!B491),"-"))</f>
        <v>CO2-besparelsen vil altid være projektafhængig, og kan afhængige en smule af montering og valg/genbrug af type ramme og karm</v>
      </c>
      <c r="S6" s="164" cm="1">
        <f t="array" ref="S6">(_xlfn.IFS(AND(N6=Argumenter!B490),Argumenter!C252*100,AND(N6=Argumenter!B491),"-"))</f>
        <v>100</v>
      </c>
      <c r="T6" s="165" cm="1">
        <f t="array" ref="T6">(_xlfn.IFS(AND(N6=Argumenter!B490),Materialeoutput!F11*Argumenter!C291,AND(N6=Argumenter!B491),"-"))</f>
        <v>0</v>
      </c>
      <c r="V6" s="160" t="s">
        <v>280</v>
      </c>
      <c r="W6" s="11" t="str">
        <f>IF(AND(INPUT!I17=Argumenter!C157),Argumenter!B490,Argumenter!B491)</f>
        <v>nej</v>
      </c>
      <c r="X6" s="10" t="str" cm="1">
        <f t="array" ref="X6">(_xlfn.IFS(AND(W6=Argumenter!B490),C6,AND(W6=Argumenter!B491),"-"))</f>
        <v>-</v>
      </c>
      <c r="Y6" s="10" t="str" cm="1">
        <f t="array" ref="Y6">(_xlfn.IFS(AND(W6=Argumenter!B490),Materialeoutput!E13*0.5,AND(W6=Argumenter!B491),"-"))</f>
        <v>-</v>
      </c>
      <c r="Z6" s="164" t="str" cm="1">
        <f t="array" ref="Z6">(_xlfn.IFS(AND(W6=Argumenter!B490),_xlfn.CONCAT(Argumenter!C215*100,"-",Argumenter!D215*100),AND(W6=Argumenter!B491),"-"))</f>
        <v>-</v>
      </c>
      <c r="AA6" s="163" t="s">
        <v>281</v>
      </c>
      <c r="AB6" s="164" t="str" cm="1">
        <f t="array" ref="AB6">(_xlfn.IFS(AND(W6=Argumenter!B490),Argumenter!C257*100,AND(W6=Argumenter!B491),"-"))</f>
        <v>-</v>
      </c>
      <c r="AC6" s="165" t="str" cm="1">
        <f t="array" ref="AC6">(_xlfn.IFS(AND(W6=Argumenter!B490),Materialeoutput!F13*Argumenter!C296,AND(W6=Argumenter!B491),"-"))</f>
        <v>-</v>
      </c>
    </row>
    <row r="7" spans="1:31" ht="175.5" customHeight="1" x14ac:dyDescent="0.3">
      <c r="A7" s="605"/>
      <c r="C7" s="159" t="s">
        <v>173</v>
      </c>
      <c r="D7" s="160" t="s">
        <v>282</v>
      </c>
      <c r="E7" s="10" t="e" cm="1">
        <f t="array" ref="E7">_xlfn.IFS(AND(INPUT!H7=Argumenter!C132),Argumenter!B491,AND(INPUT!H7=Argumenter!D132),Argumenter!B491,AND(INPUT!H7=Argumenter!C133),Argumenter!B490,AND(INPUT!H7=Argumenter!C134),Argumenter!B491)</f>
        <v>#N/A</v>
      </c>
      <c r="F7" s="10" t="e" cm="1">
        <f t="array" ref="F7">(_xlfn.IFS(AND(E7=Argumenter!B490),C7,AND(E7=Argumenter!B491),"-"))</f>
        <v>#N/A</v>
      </c>
      <c r="G7" s="161" t="e" cm="1">
        <f t="array" ref="G7">(_xlfn.IFS(AND(E7=Argumenter!B490),Materialeoutput!I9*Argumenter!C207,AND(E7=Argumenter!B491),"-"))</f>
        <v>#N/A</v>
      </c>
      <c r="H7" s="162" t="e" cm="1">
        <f t="array" ref="H7">(_xlfn.IFS(AND(E7=Argumenter!B490),_xlfn.CONCAT(Argumenter!C207*100,"-",Argumenter!D207*100),AND(E7=Argumenter!B491),"-"))</f>
        <v>#N/A</v>
      </c>
      <c r="I7" s="163" t="s">
        <v>283</v>
      </c>
      <c r="J7" s="164" t="e" cm="1">
        <f t="array" ref="J7">(_xlfn.IFS(AND(E7=Argumenter!B490),Argumenter!C249*100,AND(E7=Argumenter!B491),"-"))</f>
        <v>#N/A</v>
      </c>
      <c r="K7" s="165" t="e" cm="1">
        <f t="array" ref="K7">(_xlfn.IFS(AND(E7=Argumenter!B490),Materialeoutput!F9*Argumenter!C287,AND(E7=Argumenter!B491),"-"))</f>
        <v>#N/A</v>
      </c>
      <c r="M7" s="166" t="s">
        <v>284</v>
      </c>
      <c r="N7" s="10" t="str" cm="1">
        <f t="array" ref="N7">_xlfn.IFS(AND(INPUT!G12&gt;Argumenter!C142,INPUT!H12&gt;=Argumenter!C149),Argumenter!B490,AND(INPUT!G12&gt;=Argumenter!C142,INPUT!H12&lt;=Argumenter!C149),Argumenter!B491,AND(INPUT!G12&lt;Argumenter!C142,INPUT!H12&gt;=Argumenter!C149),Argumenter!B491,AND(INPUT!G12&lt;=Argumenter!C142,INPUT!H12&lt;=Argumenter!C149),Argumenter!B491)</f>
        <v>Ja</v>
      </c>
      <c r="O7" s="10" t="str" cm="1">
        <f t="array" ref="O7">(_xlfn.IFS(AND(N7=Argumenter!B490),C7,AND(N7=Argumenter!B491),"-"))</f>
        <v>Upcycling</v>
      </c>
      <c r="P7" s="161" cm="1">
        <f t="array" ref="P7">(_xlfn.IFS(AND(N7=Argumenter!B490),Materialeoutput!I11*Argumenter!C211,AND(N7=Argumenter!B491),"-"))</f>
        <v>0</v>
      </c>
      <c r="Q7" s="164" t="str" cm="1">
        <f t="array" ref="Q7">(_xlfn.IFS(AND(N7=Argumenter!B490),_xlfn.CONCAT(Argumenter!C211*100,"-",Argumenter!D211*100),AND(N7=Argumenter!B491),"-"))</f>
        <v>85-95</v>
      </c>
      <c r="R7" s="163" t="s">
        <v>285</v>
      </c>
      <c r="S7" s="164" cm="1">
        <f t="array" ref="S7">(_xlfn.IFS(AND(N7=Argumenter!B490),Argumenter!C253*100,AND(N7=Argumenter!B491),"-"))</f>
        <v>85</v>
      </c>
      <c r="T7" s="165" cm="1">
        <f t="array" ref="T7">(_xlfn.IFS(AND(N7=Argumenter!B490),Materialeoutput!F11*Argumenter!C292,AND(N7=Argumenter!B491),"-"))</f>
        <v>0</v>
      </c>
      <c r="V7" s="160" t="s">
        <v>286</v>
      </c>
      <c r="W7" s="10" t="str">
        <f>IF(AND(INPUT!I17=Argumenter!C157),Argumenter!B491,Argumenter!B490)</f>
        <v>Ja</v>
      </c>
      <c r="X7" s="10" t="str" cm="1">
        <f t="array" ref="X7">(_xlfn.IFS(AND(W7=Argumenter!B490),C7,AND(W7=Argumenter!B491),"-"))</f>
        <v>Upcycling</v>
      </c>
      <c r="Y7" s="10" cm="1">
        <f t="array" ref="Y7">(_xlfn.IFS(AND(W7=Argumenter!B490),(Materialeoutput!I13+Materialeoutput!I14)*Argumenter!C216,AND(W7=Argumenter!B491),"-"))</f>
        <v>0</v>
      </c>
      <c r="Z7" s="164" t="str" cm="1">
        <f t="array" ref="Z7">(_xlfn.IFS(AND(W7=Argumenter!B490),_xlfn.CONCAT(Argumenter!C216*100,"-",Argumenter!D216*100),AND(W7=Argumenter!B491),"-"))</f>
        <v>34-72</v>
      </c>
      <c r="AA7" s="163" t="s">
        <v>287</v>
      </c>
      <c r="AB7" s="164" cm="1">
        <f t="array" ref="AB7">(_xlfn.IFS(AND(W7=Argumenter!B490),Argumenter!C258*100,AND(W7=Argumenter!B491),"-"))</f>
        <v>80</v>
      </c>
      <c r="AC7" s="165" cm="1">
        <f t="array" ref="AC7">(_xlfn.IFS(AND(W7=Argumenter!B490),Materialeoutput!F13*Argumenter!C297,AND(W7=Argumenter!B491),"-"))</f>
        <v>0</v>
      </c>
    </row>
    <row r="8" spans="1:31" ht="176.25" customHeight="1" x14ac:dyDescent="0.3">
      <c r="A8" s="605"/>
      <c r="C8" s="159" t="s">
        <v>174</v>
      </c>
      <c r="D8" s="167" t="s">
        <v>288</v>
      </c>
      <c r="E8" s="168" t="s">
        <v>101</v>
      </c>
      <c r="F8" s="10" t="str" cm="1">
        <f t="array" ref="F8">(_xlfn.IFS(AND(E8=Argumenter!B490),C8,AND(E8=Argumenter!B491),"-"))</f>
        <v>Downcycling</v>
      </c>
      <c r="G8" s="161" cm="1">
        <f t="array" ref="G8">(_xlfn.IFS(AND(E8=Argumenter!B490),Materialeoutput!I9*Argumenter!C208,AND(E8=Argumenter!B491),"-"))</f>
        <v>0</v>
      </c>
      <c r="H8" s="162" t="str" cm="1">
        <f t="array" ref="H8">(_xlfn.IFS(AND(E8=Argumenter!B490),_xlfn.CONCAT(Argumenter!C208*100,"-",Argumenter!D208*100),AND(E8=Argumenter!B491),"-"))</f>
        <v>10-95</v>
      </c>
      <c r="I8" s="163" t="s">
        <v>289</v>
      </c>
      <c r="J8" s="164" t="str" cm="1">
        <f t="array" ref="J8">(_xlfn.IFS(AND(E8=Argumenter!B490),_xlfn.CONCAT(Argumenter!C250*100,),AND(E8=Argumenter!B491),"-"))</f>
        <v>95</v>
      </c>
      <c r="K8" s="165" cm="1">
        <f t="array" ref="K8">(_xlfn.IFS(AND(E8=Argumenter!B490),Materialeoutput!F9*Argumenter!C288,AND(E8=Argumenter!B491),"-"))</f>
        <v>0</v>
      </c>
      <c r="M8" s="169" t="s">
        <v>290</v>
      </c>
      <c r="N8" s="168" t="s">
        <v>101</v>
      </c>
      <c r="O8" s="168" t="str" cm="1">
        <f t="array" ref="O8">(_xlfn.IFS(AND(N8=Argumenter!B490),C8,AND(N8=Argumenter!B491),"-"))</f>
        <v>Downcycling</v>
      </c>
      <c r="P8" s="170" cm="1">
        <f t="array" ref="P8">(_xlfn.IFS(AND(N8=Argumenter!B490),Materialeoutput!I11*Argumenter!C212,AND(N8=Argumenter!B491),"-"))</f>
        <v>0</v>
      </c>
      <c r="Q8" s="171" t="str" cm="1">
        <f t="array" ref="Q8">(_xlfn.IFS(AND(N8=Argumenter!B490),_xlfn.CONCAT(Argumenter!C212*100,"-",Argumenter!D212*100),AND(N8=Argumenter!B491),"-"))</f>
        <v>95-100</v>
      </c>
      <c r="R8" s="172" t="s">
        <v>291</v>
      </c>
      <c r="S8" s="171" cm="1">
        <f t="array" ref="S8">(_xlfn.IFS(AND(N8=Argumenter!B490),Argumenter!C254*100,AND(N8=Argumenter!B491),"-"))</f>
        <v>85</v>
      </c>
      <c r="T8" s="173" cm="1">
        <f t="array" ref="T8">(_xlfn.IFS(AND(N8=Argumenter!B490),Materialeoutput!F11*Argumenter!C293,AND(N8=Argumenter!B491),"-"))</f>
        <v>0</v>
      </c>
      <c r="V8" s="167" t="s">
        <v>292</v>
      </c>
      <c r="W8" s="168" t="s">
        <v>101</v>
      </c>
      <c r="X8" s="168" t="str" cm="1">
        <f t="array" ref="X8">(_xlfn.IFS(AND(W8=Argumenter!B490),C8,AND(W8=Argumenter!B491),"-"))</f>
        <v>Downcycling</v>
      </c>
      <c r="Y8" s="168" cm="1">
        <f t="array" ref="Y8">(_xlfn.IFS(AND(W8=Argumenter!B490),Materialeoutput!I13*Argumenter!C217,AND(W8=Argumenter!B491),"-"))</f>
        <v>0</v>
      </c>
      <c r="Z8" s="174" t="str" cm="1">
        <f t="array" ref="Z8">(_xlfn.IFS(AND(W8=Argumenter!B490),_xlfn.CONCAT(Argumenter!C217*100,"-",Argumenter!D217*100),AND(W8=Argumenter!B491),"-"))</f>
        <v>10-95</v>
      </c>
      <c r="AA8" s="172" t="s">
        <v>293</v>
      </c>
      <c r="AB8" s="171" cm="1">
        <f t="array" ref="AB8">(_xlfn.IFS(AND(W8=Argumenter!B490),Argumenter!C259*100,AND(W8=Argumenter!B491),"-"))</f>
        <v>95</v>
      </c>
      <c r="AC8" s="173" cm="1">
        <f t="array" ref="AC8">(_xlfn.IFS(AND(W8=Argumenter!B490),Materialeoutput!F13*Argumenter!C298,AND(W8=Argumenter!B491),"-"))</f>
        <v>0</v>
      </c>
    </row>
    <row r="9" spans="1:31" ht="45.75" customHeight="1" x14ac:dyDescent="0.3">
      <c r="F9" s="615"/>
      <c r="G9" s="617"/>
      <c r="H9" s="551"/>
      <c r="I9" s="551"/>
      <c r="J9" s="619"/>
      <c r="K9" s="621"/>
      <c r="X9" s="623"/>
      <c r="Y9" s="624"/>
      <c r="Z9" s="550"/>
      <c r="AA9" s="550"/>
      <c r="AB9" s="620"/>
      <c r="AC9" s="622"/>
    </row>
    <row r="10" spans="1:31" ht="15.75" customHeight="1" x14ac:dyDescent="0.3">
      <c r="D10" s="12"/>
      <c r="F10" s="616"/>
      <c r="G10" s="618"/>
      <c r="H10" s="552"/>
      <c r="I10" s="552"/>
      <c r="J10" s="620"/>
      <c r="K10" s="622"/>
      <c r="X10" s="623"/>
      <c r="Y10" s="624"/>
      <c r="Z10" s="550"/>
      <c r="AA10" s="550"/>
      <c r="AB10" s="620"/>
      <c r="AC10" s="622"/>
    </row>
    <row r="11" spans="1:31" ht="15.95" customHeight="1" x14ac:dyDescent="0.3">
      <c r="F11" s="616"/>
      <c r="G11" s="618"/>
      <c r="H11" s="552"/>
      <c r="I11" s="552"/>
      <c r="J11" s="620"/>
      <c r="K11" s="622"/>
      <c r="X11" s="623"/>
      <c r="Y11" s="624"/>
      <c r="Z11" s="550"/>
      <c r="AA11" s="550"/>
      <c r="AB11" s="620"/>
      <c r="AC11" s="622"/>
    </row>
    <row r="12" spans="1:31" ht="26.25" hidden="1" x14ac:dyDescent="0.3">
      <c r="A12" s="606" t="s">
        <v>113</v>
      </c>
      <c r="D12" s="607" t="s">
        <v>114</v>
      </c>
      <c r="E12" s="608"/>
      <c r="F12" s="608"/>
      <c r="G12" s="608"/>
      <c r="H12" s="608"/>
      <c r="I12" s="608"/>
      <c r="J12" s="608"/>
      <c r="K12" s="609"/>
      <c r="L12" s="10"/>
      <c r="M12" s="612" t="s">
        <v>131</v>
      </c>
      <c r="N12" s="613"/>
      <c r="O12" s="613"/>
      <c r="P12" s="613"/>
      <c r="Q12" s="613"/>
      <c r="R12" s="613"/>
      <c r="S12" s="613"/>
      <c r="T12" s="613"/>
      <c r="U12" s="614"/>
      <c r="V12" s="10"/>
      <c r="W12" s="612" t="s">
        <v>137</v>
      </c>
      <c r="X12" s="613"/>
      <c r="Y12" s="613"/>
      <c r="Z12" s="613"/>
      <c r="AA12" s="613"/>
      <c r="AB12" s="613"/>
      <c r="AC12" s="613"/>
      <c r="AD12" s="613"/>
      <c r="AE12" s="614"/>
    </row>
    <row r="13" spans="1:31" ht="34.5" hidden="1" customHeight="1" x14ac:dyDescent="0.3">
      <c r="A13" s="606"/>
      <c r="B13" s="610" t="s">
        <v>267</v>
      </c>
      <c r="C13" s="611"/>
      <c r="D13" s="398" t="s">
        <v>268</v>
      </c>
      <c r="E13" s="399" t="s">
        <v>269</v>
      </c>
      <c r="F13" s="399" t="s">
        <v>270</v>
      </c>
      <c r="G13" s="399" t="s">
        <v>271</v>
      </c>
      <c r="H13" s="400" t="s">
        <v>272</v>
      </c>
      <c r="I13" s="400" t="s">
        <v>273</v>
      </c>
      <c r="J13" s="400" t="s">
        <v>274</v>
      </c>
      <c r="K13" s="401" t="s">
        <v>80</v>
      </c>
      <c r="L13" s="15"/>
      <c r="M13" s="402" t="s">
        <v>267</v>
      </c>
      <c r="N13" s="399" t="s">
        <v>268</v>
      </c>
      <c r="O13" s="399" t="s">
        <v>269</v>
      </c>
      <c r="P13" s="399" t="s">
        <v>270</v>
      </c>
      <c r="Q13" s="400" t="s">
        <v>271</v>
      </c>
      <c r="R13" s="400" t="s">
        <v>272</v>
      </c>
      <c r="S13" s="400" t="s">
        <v>275</v>
      </c>
      <c r="T13" s="400" t="s">
        <v>274</v>
      </c>
      <c r="U13" s="403" t="s">
        <v>80</v>
      </c>
      <c r="V13" s="15"/>
      <c r="W13" s="402"/>
      <c r="X13" s="399" t="s">
        <v>268</v>
      </c>
      <c r="Y13" s="399" t="s">
        <v>269</v>
      </c>
      <c r="Z13" s="399" t="s">
        <v>270</v>
      </c>
      <c r="AA13" s="399" t="s">
        <v>271</v>
      </c>
      <c r="AB13" s="400" t="s">
        <v>272</v>
      </c>
      <c r="AC13" s="400" t="s">
        <v>275</v>
      </c>
      <c r="AD13" s="400" t="s">
        <v>274</v>
      </c>
      <c r="AE13" s="403" t="s">
        <v>80</v>
      </c>
    </row>
    <row r="14" spans="1:31" ht="20.100000000000001" hidden="1" customHeight="1" x14ac:dyDescent="0.3">
      <c r="A14" s="606"/>
      <c r="B14" s="610"/>
      <c r="C14" s="611"/>
      <c r="D14" s="156"/>
      <c r="E14" s="15"/>
      <c r="F14" s="15"/>
      <c r="G14" s="15" t="s">
        <v>47</v>
      </c>
      <c r="H14" s="15"/>
      <c r="I14" s="15"/>
      <c r="J14" s="15"/>
      <c r="K14" s="157" t="s">
        <v>294</v>
      </c>
      <c r="L14" s="15"/>
      <c r="M14" s="175"/>
      <c r="N14" s="15"/>
      <c r="O14" s="15"/>
      <c r="P14" s="15"/>
      <c r="Q14" s="114" t="s">
        <v>276</v>
      </c>
      <c r="R14" s="15"/>
      <c r="S14" s="15"/>
      <c r="T14" s="15"/>
      <c r="U14" s="176" t="s">
        <v>294</v>
      </c>
      <c r="V14" s="15"/>
      <c r="W14" s="175"/>
      <c r="X14" s="15"/>
      <c r="Y14" s="15"/>
      <c r="Z14" s="15"/>
      <c r="AA14" s="114" t="s">
        <v>276</v>
      </c>
      <c r="AB14" s="15"/>
      <c r="AC14" s="15"/>
      <c r="AD14" s="15"/>
      <c r="AE14" s="176" t="s">
        <v>294</v>
      </c>
    </row>
    <row r="15" spans="1:31" ht="99.95" hidden="1" customHeight="1" x14ac:dyDescent="0.3">
      <c r="A15" s="606"/>
      <c r="B15" s="177" t="s">
        <v>295</v>
      </c>
      <c r="C15" s="159" t="s">
        <v>167</v>
      </c>
      <c r="D15" s="160" t="s">
        <v>296</v>
      </c>
      <c r="E15" s="11" t="e" cm="1">
        <f t="array" ref="E15">(_xlfn.IFS(AND(#REF!=#REF!,#REF!=#REF!),Argumenter!B490,AND(#REF!=#REF!,#REF!=#REF!),Argumenter!B491,AND(#REF!=#REF!,#REF!=#REF!),Argumenter!B490,AND(#REF!=#REF!,#REF!=#REF!),Argumenter!B491,AND(#REF!=#REF!,#REF!=#REF!),Argumenter!B490,AND(#REF!=#REF!,#REF!=#REF!),Argumenter!B491))</f>
        <v>#REF!</v>
      </c>
      <c r="F15" s="11" t="e" cm="1">
        <f t="array" ref="F15">(_xlfn.IFS(AND(E15=Argumenter!B490),B15,AND(E15=Argumenter!B491),"-"))</f>
        <v>#REF!</v>
      </c>
      <c r="G15" s="161" t="e" cm="1">
        <f t="array" ref="G15">(_xlfn.IFS(AND(E15=Argumenter!B490),Materialeoutput!I24*Argumenter!C225,AND(E15=Argumenter!B491),"-"))</f>
        <v>#REF!</v>
      </c>
      <c r="H15" s="162" t="e" cm="1">
        <f t="array" ref="H15">(_xlfn.IFS(AND(E15=Argumenter!B490),_xlfn.CONCAT(Argumenter!C225*100,"-",Argumenter!D225*100),AND(E15=Argumenter!B491),"-"))</f>
        <v>#REF!</v>
      </c>
      <c r="I15" s="163" t="e" cm="1">
        <f t="array" ref="I15">(_xlfn.IFS(AND(E15=Argumenter!B490),"CO2 besparelse er projektafhængig og kan variere baseret på proces for nedtagning samt oparbejdning af materiale. ",AND(E15=Argumenter!B491),"-"))</f>
        <v>#REF!</v>
      </c>
      <c r="J15" s="164" t="e" cm="1">
        <f t="array" ref="J15">(_xlfn.IFS(AND(E15=Argumenter!B490),Argumenter!C265*100,AND(E15=Argumenter!B491),"-"))</f>
        <v>#REF!</v>
      </c>
      <c r="K15" s="165" t="e" cm="1">
        <f t="array" ref="K15">(_xlfn.IFS(AND(E15=Argumenter!B490),Materialeoutput!G24,AND(E15=Argumenter!B491),"-"))</f>
        <v>#REF!</v>
      </c>
      <c r="M15" s="178" t="str">
        <f>Argumenter!B174</f>
        <v>Genbrug</v>
      </c>
      <c r="N15" s="13" t="s">
        <v>297</v>
      </c>
      <c r="O15" s="10" t="e" cm="1">
        <f t="array" ref="O15">_xlfn.IFS(AND(#REF!&gt;=Argumenter!C174,#REF!=Argumenter!B490),Argumenter!B490,AND(#REF!&gt;=Argumenter!C174,#REF!=Argumenter!B491),Argumenter!B491,AND(#REF!&lt;=Argumenter!C174),Argumenter!B491)</f>
        <v>#REF!</v>
      </c>
      <c r="P15" s="11" t="e" cm="1">
        <f t="array" ref="P15">(_xlfn.IFS(AND(O15=Argumenter!B490),M15,AND(O15=Argumenter!B491),"-"))</f>
        <v>#REF!</v>
      </c>
      <c r="Q15" s="161" t="e" cm="1">
        <f t="array" ref="Q15">(_xlfn.IFS(AND(O15=Argumenter!B490),Materialeoutput!I26*Argumenter!C229,AND(O15=Argumenter!B491),"-"))</f>
        <v>#REF!</v>
      </c>
      <c r="R15" s="164" t="e" cm="1">
        <f t="array" ref="R15">(_xlfn.IFS(AND(O15=Argumenter!B490),_xlfn.CONCAT(Argumenter!C229*100,"-",Argumenter!D229*100),AND(O15=Argumenter!B491),"-"))</f>
        <v>#REF!</v>
      </c>
      <c r="S15" s="163" t="e" cm="1">
        <f t="array" ref="S15">(_xlfn.IFS(AND(O15=Argumenter!B490),"CO2 besparelse er projektafhængig og kan variere baseret på proces for nedtagning samt oparbejdning af materiale. ",AND(O15=Argumenter!B491),"-"))</f>
        <v>#REF!</v>
      </c>
      <c r="T15" s="164" t="e" cm="1">
        <f t="array" ref="T15">(_xlfn.IFS(AND(O15=Argumenter!B490),Argumenter!C269*100,AND(O15=Argumenter!B491),"-"))</f>
        <v>#REF!</v>
      </c>
      <c r="U15" s="179" t="e" cm="1">
        <f t="array" ref="U15">(_xlfn.IFS(AND(O15=Argumenter!B490),Materialeoutput!G26*Argumenter!C311,AND(O15=Argumenter!B491),"-"))</f>
        <v>#REF!</v>
      </c>
      <c r="W15" s="180" t="s">
        <v>167</v>
      </c>
      <c r="X15" s="181" t="s">
        <v>298</v>
      </c>
      <c r="Y15" s="10" t="e">
        <f>(IF(AND(#REF!=Argumenter!B491,#REF!=Argumenter!B491,#REF!=Argumenter!B491),Argumenter!B490,Argumenter!B491))</f>
        <v>#REF!</v>
      </c>
      <c r="Z15" s="11" t="e" cm="1">
        <f t="array" ref="Z15">(_xlfn.IFS(AND(Y15=Argumenter!B490),W15,AND(Y15=Argumenter!B491),"-"))</f>
        <v>#REF!</v>
      </c>
      <c r="AA15" s="10" t="e" cm="1">
        <f t="array" ref="AA15">(_xlfn.IFS(AND(Y15=Argumenter!B490),Materialeoutput!I28*Argumenter!C234,AND(Y15=Argumenter!B491),"-"))</f>
        <v>#REF!</v>
      </c>
      <c r="AB15" s="164" t="e" cm="1">
        <f t="array" ref="AB15">(_xlfn.IFS(AND(Y15=Argumenter!B490),_xlfn.CONCAT(Argumenter!C234*100,"-",Argumenter!D234*100),AND(Y15=Argumenter!B491),"-"))</f>
        <v>#REF!</v>
      </c>
      <c r="AC15" s="163" t="e" cm="1">
        <f t="array" ref="AC15">(_xlfn.IFS(AND(Y15=Argumenter!B490),"CO2 besparelse er projektafhængig og kan variere baseret på proces for nedtagning samt oparbejdning af materiale. ",AND(Y15=Argumenter!B491),"-"))</f>
        <v>#REF!</v>
      </c>
      <c r="AD15" s="164" t="e" cm="1">
        <f t="array" ref="AD15">(_xlfn.IFS(AND(Y15=Argumenter!B490),Argumenter!C274*100,AND(Y15=Argumenter!B491),"-"))</f>
        <v>#REF!</v>
      </c>
      <c r="AE15" s="179" t="e" cm="1">
        <f t="array" ref="AE15">(_xlfn.IFS(AND(Y15=Argumenter!B490),Materialeoutput!G28*Argumenter!C316,AND(Y15=Argumenter!B491),"-"))</f>
        <v>#REF!</v>
      </c>
    </row>
    <row r="16" spans="1:31" ht="99.95" hidden="1" customHeight="1" x14ac:dyDescent="0.3">
      <c r="A16" s="606"/>
      <c r="B16" s="177" t="s">
        <v>299</v>
      </c>
      <c r="C16" s="159" t="s">
        <v>173</v>
      </c>
      <c r="D16" s="160" t="s">
        <v>300</v>
      </c>
      <c r="E16" s="11" t="e">
        <f>IF(AND(NOT(E15=Argumenter!B490)),Argumenter!B490,Argumenter!B491)</f>
        <v>#REF!</v>
      </c>
      <c r="F16" s="11" t="e" cm="1">
        <f t="array" ref="F16">(_xlfn.IFS(AND(E16=Argumenter!B490),B16,AND(E16=Argumenter!B491),"-"))</f>
        <v>#REF!</v>
      </c>
      <c r="G16" s="161" t="e" cm="1">
        <f t="array" ref="G16">(_xlfn.IFS(AND(E16=Argumenter!B490),Materialeoutput!I24*Argumenter!C226,AND(E16=Argumenter!B491),"-"))</f>
        <v>#REF!</v>
      </c>
      <c r="H16" s="162" t="e" cm="1">
        <f t="array" ref="H16">(_xlfn.IFS(AND(E16=Argumenter!B490),_xlfn.CONCAT(Argumenter!C226*100,"-",Argumenter!D226*100),AND(E16=Argumenter!B491),"-"))</f>
        <v>#REF!</v>
      </c>
      <c r="I16" s="163" t="e" cm="1">
        <f t="array" ref="I16">(_xlfn.IFS(AND(E16=Argumenter!B490),"CO2 besparelse er projektafhængig og kan variere baseret på proces for nedtagning samt oparbejdning af materiale. ",AND(E16=Argumenter!B491),"-"))</f>
        <v>#REF!</v>
      </c>
      <c r="J16" s="164" t="e" cm="1">
        <f t="array" ref="J16">(_xlfn.IFS(AND(E16=Argumenter!B490),Argumenter!C266*100,AND(E16=Argumenter!B491),"-"))</f>
        <v>#REF!</v>
      </c>
      <c r="K16" s="165" t="e" cm="1">
        <f t="array" ref="K16">(_xlfn.IFS(AND(E16=Argumenter!B490),Materialeoutput!G24*Argumenter!C307,AND(E16=Argumenter!B491),"-"))</f>
        <v>#REF!</v>
      </c>
      <c r="M16" s="178" t="str">
        <f>Argumenter!B175</f>
        <v>Genanvendelse, til erstatning af ny asfalt</v>
      </c>
      <c r="N16" s="13" t="s">
        <v>301</v>
      </c>
      <c r="O16" s="10" t="e" cm="1">
        <f t="array" ref="O16">_xlfn.IFS(AND(#REF!&gt;=Argumenter!C174,#REF!=Argumenter!B491),Argumenter!B490,AND(#REF!&gt;=Argumenter!C174,#REF!=Argumenter!B491),Argumenter!B491,AND(#REF!&lt;=Argumenter!C174),Argumenter!B491)</f>
        <v>#REF!</v>
      </c>
      <c r="P16" s="11" t="e" cm="1">
        <f t="array" ref="P16">(_xlfn.IFS(AND(O16=Argumenter!B490),M16,AND(O16=Argumenter!B491),"-"))</f>
        <v>#REF!</v>
      </c>
      <c r="Q16" s="161" t="e" cm="1">
        <f t="array" ref="Q16">(_xlfn.IFS(AND(O16=Argumenter!B490),Materialeoutput!I26*Argumenter!C230,AND(O16=Argumenter!B491),"-"))</f>
        <v>#REF!</v>
      </c>
      <c r="R16" s="164" t="e" cm="1">
        <f t="array" ref="R16">(_xlfn.IFS(AND(O16=Argumenter!B490),_xlfn.CONCAT(Argumenter!C230*100,"-",Argumenter!D230*100),AND(O16=Argumenter!B491),"-"))</f>
        <v>#REF!</v>
      </c>
      <c r="S16" s="163" t="e" cm="1">
        <f t="array" ref="S16">(_xlfn.IFS(AND(O16=Argumenter!B490),"CO2 besparelse er projektafhængig og kan variere baseret på proces for nedtagning samt oparbejdning af materiale. ",AND(O16=Argumenter!B491),"-"))</f>
        <v>#REF!</v>
      </c>
      <c r="T16" s="164" t="e" cm="1">
        <f t="array" ref="T16">(_xlfn.IFS(AND(O16=Argumenter!B490),Argumenter!C270*100,AND(O16=Argumenter!B491),"-"))</f>
        <v>#REF!</v>
      </c>
      <c r="U16" s="179" t="e" cm="1">
        <f t="array" ref="U16">(_xlfn.IFS(AND(O16=Argumenter!B490),Materialeoutput!G26*Argumenter!C312,AND(O16=Argumenter!B491),"-"))</f>
        <v>#REF!</v>
      </c>
      <c r="W16" s="180" t="s">
        <v>173</v>
      </c>
      <c r="X16" s="181" t="s">
        <v>302</v>
      </c>
      <c r="Y16" s="10" t="e">
        <f>(IF(AND(#REF!=Argumenter!B491,#REF!=Argumenter!B490,#REF!=Argumenter!B491),Argumenter!B490,Argumenter!B491))</f>
        <v>#REF!</v>
      </c>
      <c r="Z16" s="11" t="e" cm="1">
        <f t="array" ref="Z16">(_xlfn.IFS(AND(Y16=Argumenter!B490),W16,AND(Y16=Argumenter!B491),"-"))</f>
        <v>#REF!</v>
      </c>
      <c r="AA16" s="10" t="e" cm="1">
        <f t="array" ref="AA16">(_xlfn.IFS(AND(Y16=Argumenter!B490),Materialeoutput!I28*Argumenter!C235,AND(Y16=Argumenter!B491),"-"))</f>
        <v>#REF!</v>
      </c>
      <c r="AB16" s="164" t="e" cm="1">
        <f t="array" ref="AB16">(_xlfn.IFS(AND(Y16=Argumenter!B490),_xlfn.CONCAT(Argumenter!C235*100,"-",Argumenter!D235*100),AND(Y16=Argumenter!B491),"-"))</f>
        <v>#REF!</v>
      </c>
      <c r="AC16" s="163" t="e" cm="1">
        <f t="array" ref="AC16">(_xlfn.IFS(AND(Y16=Argumenter!B490),"CO2 besparelse er projektafhængig og kan variere baseret på proces for nedtagning samt oparbejdning af materiale. ",AND(Y16=Argumenter!B491),"-"))</f>
        <v>#REF!</v>
      </c>
      <c r="AD16" s="164" t="e" cm="1">
        <f t="array" ref="AD16">(_xlfn.IFS(AND(Y16=Argumenter!B490),Argumenter!C275*100,AND(Y16=Argumenter!B491),"-"))</f>
        <v>#REF!</v>
      </c>
      <c r="AE16" s="179" t="e" cm="1">
        <f t="array" ref="AE16">(_xlfn.IFS(AND(Y16=Argumenter!B490),Materialeoutput!G28*Argumenter!C317,AND(Y16=Argumenter!B491),"-"))</f>
        <v>#REF!</v>
      </c>
    </row>
    <row r="17" spans="1:31" ht="99.95" hidden="1" customHeight="1" x14ac:dyDescent="0.3">
      <c r="A17" s="606"/>
      <c r="B17" s="182" t="s">
        <v>303</v>
      </c>
      <c r="C17" s="159" t="s">
        <v>174</v>
      </c>
      <c r="D17" s="167" t="s">
        <v>304</v>
      </c>
      <c r="E17" s="183" t="s">
        <v>305</v>
      </c>
      <c r="F17" s="184" t="str" cm="1">
        <f t="array" ref="F17">(_xlfn.IFS(AND(E17=Argumenter!B490),B17,AND(E17=Argumenter!B491),"-"))</f>
        <v>Deponi</v>
      </c>
      <c r="G17" s="185" t="e" cm="1">
        <f t="array" ref="G17">(_xlfn.IFS(AND(E17=Argumenter!B490),Materialeoutput!I24*Argumenter!C227,AND(E17=Argumenter!B491),"-"))</f>
        <v>#REF!</v>
      </c>
      <c r="H17" s="186" t="str" cm="1">
        <f t="array" ref="H17">(_xlfn.IFS(AND(E17=Argumenter!B490),_xlfn.CONCAT(Argumenter!C227*100,"-",Argumenter!D227*100),AND(E17=Argumenter!B491),"-"))</f>
        <v>0-5</v>
      </c>
      <c r="I17" s="172" t="str" cm="1">
        <f t="array" ref="I17">(_xlfn.IFS(AND(E17=Argumenter!B490),"CO2 besparelse er projektafhængig og kan variere baseret på proces for nedtagning samt oparbejdning af materiale. ",AND(E17=Argumenter!B491),"-"))</f>
        <v xml:space="preserve">CO2 besparelse er projektafhængig og kan variere baseret på proces for nedtagning samt oparbejdning af materiale. </v>
      </c>
      <c r="J17" s="174" cm="1">
        <f t="array" ref="J17">(_xlfn.IFS(AND(E17=Argumenter!B490),Argumenter!C267*100,AND(E17=Argumenter!B491),"-"))</f>
        <v>0</v>
      </c>
      <c r="K17" s="187" t="e" cm="1">
        <f t="array" ref="K17">(_xlfn.IFS(AND(E17=Argumenter!B490),Materialeoutput!G24*Argumenter!C308,AND(E17=Argumenter!B491),"-"))</f>
        <v>#REF!</v>
      </c>
      <c r="M17" s="188" t="str">
        <f>Argumenter!B176</f>
        <v>Downcycling, til erstatning af andre materialer</v>
      </c>
      <c r="N17" s="189" t="s">
        <v>306</v>
      </c>
      <c r="O17" s="190" t="s">
        <v>101</v>
      </c>
      <c r="P17" s="184" t="str" cm="1">
        <f t="array" ref="P17">(_xlfn.IFS(AND(O17=Argumenter!B490),M17,AND(O17=Argumenter!B491),"-"))</f>
        <v>Downcycling, til erstatning af andre materialer</v>
      </c>
      <c r="Q17" s="185" t="e" cm="1">
        <f t="array" ref="Q17">(_xlfn.IFS(AND(O17=Argumenter!B490),Materialeoutput!I26*Argumenter!C231,AND(O17=Argumenter!B491),"-"))</f>
        <v>#REF!</v>
      </c>
      <c r="R17" s="174" t="str" cm="1">
        <f t="array" ref="R17">(_xlfn.IFS(AND(O17=Argumenter!B490),_xlfn.CONCAT(Argumenter!C231*100,"-",Argumenter!D231*100),AND(O17=Argumenter!B491),"-"))</f>
        <v>25-100</v>
      </c>
      <c r="S17" s="172" t="str" cm="1">
        <f t="array" ref="S17">(_xlfn.IFS(AND(O17=Argumenter!B490),"CO2 besparelse er projektafhængig og kan variere baseret på proces for nedtagning samt oparbejdning af materiale. ",AND(O17=Argumenter!B491),"-"))</f>
        <v xml:space="preserve">CO2 besparelse er projektafhængig og kan variere baseret på proces for nedtagning samt oparbejdning af materiale. </v>
      </c>
      <c r="T17" s="174" cm="1">
        <f t="array" ref="T17">(_xlfn.IFS(AND(O17=Argumenter!B490),Argumenter!C271*100,AND(O17=Argumenter!B491),"-"))</f>
        <v>45</v>
      </c>
      <c r="U17" s="191" t="e" cm="1">
        <f t="array" ref="U17">(_xlfn.IFS(AND(O17=Argumenter!B490),Materialeoutput!G26*Argumenter!C313,AND(O17=Argumenter!B491),"-"))</f>
        <v>#REF!</v>
      </c>
      <c r="W17" s="192" t="s">
        <v>174</v>
      </c>
      <c r="X17" s="193" t="s">
        <v>307</v>
      </c>
      <c r="Y17" s="190" t="s">
        <v>305</v>
      </c>
      <c r="Z17" s="184" t="str" cm="1">
        <f t="array" ref="Z17">(_xlfn.IFS(AND(Y17=Argumenter!B490),W17,AND(Y17=Argumenter!B491),"-"))</f>
        <v>Downcycling</v>
      </c>
      <c r="AA17" s="190" t="e" cm="1">
        <f t="array" ref="AA17">(_xlfn.IFS(AND(Y17=Argumenter!B490),Materialeoutput!I28*Argumenter!C236,AND(Y17=Argumenter!B491),"-"))</f>
        <v>#REF!</v>
      </c>
      <c r="AB17" s="174" t="str" cm="1">
        <f t="array" ref="AB17">(_xlfn.IFS(AND(Y17=Argumenter!B490),_xlfn.CONCAT(Argumenter!C236*100,"-",Argumenter!D236*100),AND(Y17=Argumenter!B491),"-"))</f>
        <v>45-65</v>
      </c>
      <c r="AC17" s="172" t="str" cm="1">
        <f t="array" ref="AC17">(_xlfn.IFS(AND(Y17=Argumenter!B490),"CO2 besparelse er projektafhængig og kan variere baseret på proces for nedtagning samt oparbejdning af materiale. ",AND(Y17=Argumenter!B491),"-"))</f>
        <v xml:space="preserve">CO2 besparelse er projektafhængig og kan variere baseret på proces for nedtagning samt oparbejdning af materiale. </v>
      </c>
      <c r="AD17" s="174" cm="1">
        <f t="array" ref="AD17">(_xlfn.IFS(AND(Y17=Argumenter!B490),Argumenter!C276*100,AND(Y17=Argumenter!B491),"-"))</f>
        <v>45</v>
      </c>
      <c r="AE17" s="191" t="e" cm="1">
        <f t="array" ref="AE17">(_xlfn.IFS(AND(Y17=Argumenter!B490),Materialeoutput!G28*Argumenter!C318,AND(Y17=Argumenter!B491),"-"))</f>
        <v>#REF!</v>
      </c>
    </row>
    <row r="25" spans="1:31" x14ac:dyDescent="0.3">
      <c r="M25" s="12"/>
      <c r="N25" s="12"/>
      <c r="O25" s="12"/>
    </row>
  </sheetData>
  <mergeCells count="17">
    <mergeCell ref="AB9:AB11"/>
    <mergeCell ref="W12:AE12"/>
    <mergeCell ref="D3:K3"/>
    <mergeCell ref="M3:T3"/>
    <mergeCell ref="V3:AC3"/>
    <mergeCell ref="AC9:AC11"/>
    <mergeCell ref="X9:X11"/>
    <mergeCell ref="Y9:Y11"/>
    <mergeCell ref="A3:A8"/>
    <mergeCell ref="A12:A17"/>
    <mergeCell ref="D12:K12"/>
    <mergeCell ref="B13:C14"/>
    <mergeCell ref="M12:U12"/>
    <mergeCell ref="F9:F11"/>
    <mergeCell ref="G9:G11"/>
    <mergeCell ref="J9:J11"/>
    <mergeCell ref="K9:K11"/>
  </mergeCells>
  <conditionalFormatting sqref="X9">
    <cfRule type="cellIs" dxfId="33" priority="28" operator="equal">
      <formula>$C$8</formula>
    </cfRule>
    <cfRule type="cellIs" dxfId="32" priority="29" operator="equal">
      <formula>$C$7</formula>
    </cfRule>
    <cfRule type="cellIs" dxfId="31" priority="30" operator="equal">
      <formula>$C$6</formula>
    </cfRule>
  </conditionalFormatting>
  <conditionalFormatting sqref="F9">
    <cfRule type="cellIs" dxfId="30" priority="25" operator="equal">
      <formula>$C$7</formula>
    </cfRule>
    <cfRule type="cellIs" dxfId="29" priority="26" operator="equal">
      <formula>$C$6</formula>
    </cfRule>
    <cfRule type="cellIs" dxfId="28" priority="27" operator="equal">
      <formula>$C$8</formula>
    </cfRule>
  </conditionalFormatting>
  <conditionalFormatting sqref="O6">
    <cfRule type="cellIs" dxfId="27" priority="24" operator="equal">
      <formula>$C$6</formula>
    </cfRule>
  </conditionalFormatting>
  <conditionalFormatting sqref="O7">
    <cfRule type="cellIs" dxfId="26" priority="23" operator="equal">
      <formula>$C$7</formula>
    </cfRule>
  </conditionalFormatting>
  <conditionalFormatting sqref="O8">
    <cfRule type="cellIs" dxfId="25" priority="22" operator="equal">
      <formula>$C$8</formula>
    </cfRule>
  </conditionalFormatting>
  <conditionalFormatting sqref="X6">
    <cfRule type="cellIs" dxfId="24" priority="21" operator="equal">
      <formula>$C$6</formula>
    </cfRule>
  </conditionalFormatting>
  <conditionalFormatting sqref="X7">
    <cfRule type="cellIs" dxfId="23" priority="20" operator="equal">
      <formula>$C$7</formula>
    </cfRule>
  </conditionalFormatting>
  <conditionalFormatting sqref="X8">
    <cfRule type="cellIs" dxfId="22" priority="19" operator="equal">
      <formula>$C$8</formula>
    </cfRule>
  </conditionalFormatting>
  <conditionalFormatting sqref="F6:F8">
    <cfRule type="cellIs" dxfId="21" priority="15" operator="equal">
      <formula>$C$6</formula>
    </cfRule>
  </conditionalFormatting>
  <conditionalFormatting sqref="F7">
    <cfRule type="cellIs" dxfId="20" priority="14" operator="equal">
      <formula>$C$7</formula>
    </cfRule>
  </conditionalFormatting>
  <conditionalFormatting sqref="F8">
    <cfRule type="cellIs" dxfId="19" priority="13" operator="equal">
      <formula>$C$8</formula>
    </cfRule>
  </conditionalFormatting>
  <conditionalFormatting sqref="Z15:Z17">
    <cfRule type="cellIs" dxfId="18" priority="9" operator="equal">
      <formula>$C$6</formula>
    </cfRule>
  </conditionalFormatting>
  <conditionalFormatting sqref="F15:F17">
    <cfRule type="cellIs" dxfId="17" priority="6" operator="equal">
      <formula>$C$6</formula>
    </cfRule>
  </conditionalFormatting>
  <conditionalFormatting sqref="F16">
    <cfRule type="cellIs" dxfId="16" priority="5" operator="equal">
      <formula>$C$7</formula>
    </cfRule>
  </conditionalFormatting>
  <conditionalFormatting sqref="F17">
    <cfRule type="cellIs" dxfId="15" priority="4" operator="equal">
      <formula>$C$8</formula>
    </cfRule>
  </conditionalFormatting>
  <conditionalFormatting sqref="P15:P17">
    <cfRule type="cellIs" dxfId="14" priority="3" operator="equal">
      <formula>$C$6</formula>
    </cfRule>
  </conditionalFormatting>
  <conditionalFormatting sqref="P16">
    <cfRule type="cellIs" dxfId="13" priority="2" operator="equal">
      <formula>$C$7</formula>
    </cfRule>
  </conditionalFormatting>
  <conditionalFormatting sqref="P17">
    <cfRule type="cellIs" dxfId="12" priority="1" operator="equal">
      <formula>$C$8</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2">
    <tabColor theme="0"/>
  </sheetPr>
  <dimension ref="A1:AK98"/>
  <sheetViews>
    <sheetView topLeftCell="A4" zoomScale="70" zoomScaleNormal="70" workbookViewId="0">
      <selection activeCell="K39" sqref="K39"/>
    </sheetView>
  </sheetViews>
  <sheetFormatPr defaultColWidth="9.140625" defaultRowHeight="16.5" x14ac:dyDescent="0.3"/>
  <cols>
    <col min="1" max="1" width="9.140625" style="194"/>
    <col min="2" max="2" width="21.28515625" style="194" customWidth="1"/>
    <col min="3" max="3" width="18.42578125" style="194" customWidth="1"/>
    <col min="4" max="4" width="18.140625" style="194" bestFit="1" customWidth="1"/>
    <col min="5" max="5" width="10.140625" style="194" bestFit="1" customWidth="1"/>
    <col min="6" max="6" width="17.28515625" style="194" bestFit="1" customWidth="1"/>
    <col min="7" max="7" width="17.140625" style="194" customWidth="1"/>
    <col min="8" max="8" width="17.42578125" style="194" customWidth="1"/>
    <col min="9" max="9" width="18.140625" style="194" bestFit="1" customWidth="1"/>
    <col min="10" max="10" width="18.140625" style="194" customWidth="1"/>
    <col min="11" max="11" width="16.28515625" style="194" customWidth="1"/>
    <col min="12" max="12" width="19.85546875" style="194" customWidth="1"/>
    <col min="13" max="13" width="15.140625" style="194" bestFit="1" customWidth="1"/>
    <col min="14" max="14" width="9.7109375" style="194" customWidth="1"/>
    <col min="15" max="15" width="10.42578125" style="194" bestFit="1" customWidth="1"/>
    <col min="16" max="16" width="24.28515625" style="194" customWidth="1"/>
    <col min="17" max="17" width="12" style="194" bestFit="1" customWidth="1"/>
    <col min="18" max="21" width="9.140625" style="194"/>
    <col min="22" max="22" width="25" style="194" bestFit="1" customWidth="1"/>
    <col min="23" max="23" width="13.85546875" style="194" bestFit="1" customWidth="1"/>
    <col min="24" max="24" width="17.7109375" style="194" bestFit="1" customWidth="1"/>
    <col min="25" max="16384" width="9.140625" style="194"/>
  </cols>
  <sheetData>
    <row r="1" spans="1:37" x14ac:dyDescent="0.3">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1:37" x14ac:dyDescent="0.3">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row>
    <row r="3" spans="1:37" x14ac:dyDescent="0.3">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row>
    <row r="4" spans="1:37" x14ac:dyDescent="0.3">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row>
    <row r="5" spans="1:37" x14ac:dyDescent="0.3">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row>
    <row r="6" spans="1:37" x14ac:dyDescent="0.3">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row>
    <row r="7" spans="1:37" ht="44.25" customHeight="1" x14ac:dyDescent="0.3">
      <c r="A7" s="2"/>
      <c r="B7" s="404" t="s">
        <v>308</v>
      </c>
      <c r="C7" s="404" t="s">
        <v>309</v>
      </c>
      <c r="D7" s="404" t="s">
        <v>310</v>
      </c>
      <c r="E7" s="405" t="s">
        <v>311</v>
      </c>
      <c r="F7" s="405" t="s">
        <v>45</v>
      </c>
      <c r="G7" s="405" t="s">
        <v>294</v>
      </c>
      <c r="H7" s="404" t="s">
        <v>312</v>
      </c>
      <c r="I7" s="405" t="s">
        <v>313</v>
      </c>
      <c r="J7" s="405"/>
      <c r="K7" s="404" t="s">
        <v>314</v>
      </c>
      <c r="L7" s="406"/>
      <c r="M7" s="405" t="s">
        <v>45</v>
      </c>
      <c r="N7" s="405" t="s">
        <v>315</v>
      </c>
      <c r="O7" s="2"/>
      <c r="P7" s="2"/>
      <c r="Q7" s="2"/>
      <c r="R7" s="195"/>
      <c r="S7" s="2"/>
      <c r="T7" s="2"/>
      <c r="U7" s="2"/>
      <c r="V7" s="2"/>
      <c r="W7" s="2"/>
      <c r="X7" s="2"/>
      <c r="Y7" s="2"/>
      <c r="Z7" s="2"/>
      <c r="AA7" s="2"/>
      <c r="AB7" s="2"/>
      <c r="AC7" s="2"/>
      <c r="AD7" s="2"/>
      <c r="AE7" s="2"/>
      <c r="AF7" s="2"/>
      <c r="AG7" s="2"/>
      <c r="AH7" s="2"/>
      <c r="AI7" s="2"/>
      <c r="AJ7" s="2"/>
      <c r="AK7" s="2"/>
    </row>
    <row r="8" spans="1:37" x14ac:dyDescent="0.3">
      <c r="A8" s="2"/>
      <c r="B8" s="196"/>
      <c r="C8" s="196"/>
      <c r="D8" s="196"/>
      <c r="E8" s="197"/>
      <c r="F8" s="197"/>
      <c r="G8" s="197"/>
      <c r="H8" s="196"/>
      <c r="I8" s="197"/>
      <c r="J8" s="197"/>
      <c r="K8" s="197"/>
      <c r="L8" s="2"/>
      <c r="M8" s="2"/>
      <c r="N8" s="2"/>
      <c r="O8" s="2"/>
      <c r="P8" s="2"/>
      <c r="Q8" s="2"/>
      <c r="R8" s="2"/>
      <c r="S8" s="2"/>
      <c r="T8" s="2"/>
      <c r="U8" s="2"/>
      <c r="V8" s="2"/>
      <c r="W8" s="2"/>
      <c r="X8" s="2"/>
      <c r="Y8" s="2"/>
      <c r="Z8" s="2"/>
      <c r="AA8" s="2"/>
      <c r="AB8" s="2"/>
      <c r="AC8" s="2"/>
      <c r="AD8" s="2"/>
      <c r="AE8" s="2"/>
      <c r="AF8" s="2"/>
      <c r="AG8" s="2"/>
      <c r="AH8" s="2"/>
      <c r="AI8" s="2"/>
      <c r="AJ8" s="2"/>
      <c r="AK8" s="2"/>
    </row>
    <row r="9" spans="1:37" x14ac:dyDescent="0.3">
      <c r="A9" s="2"/>
      <c r="B9" s="632" t="s">
        <v>71</v>
      </c>
      <c r="C9" s="10" t="s">
        <v>65</v>
      </c>
      <c r="D9" s="10" t="s">
        <v>8</v>
      </c>
      <c r="E9" s="10">
        <f>F9*14</f>
        <v>0</v>
      </c>
      <c r="F9" s="10">
        <f>INPUT!F7</f>
        <v>0</v>
      </c>
      <c r="G9" s="198">
        <f>F9*K9</f>
        <v>0</v>
      </c>
      <c r="H9" s="10">
        <f>G9*E41</f>
        <v>0</v>
      </c>
      <c r="I9" s="199">
        <f>H9*F41</f>
        <v>0</v>
      </c>
      <c r="J9" s="199"/>
      <c r="K9" s="179">
        <v>0.02</v>
      </c>
      <c r="L9" s="2"/>
      <c r="M9" s="200" t="e">
        <f>H9/$H$18</f>
        <v>#DIV/0!</v>
      </c>
      <c r="N9" s="200" t="e">
        <f>I9/$I$18</f>
        <v>#DIV/0!</v>
      </c>
      <c r="O9" s="2"/>
      <c r="P9" s="2"/>
      <c r="Q9" s="2"/>
      <c r="R9" s="2"/>
      <c r="S9" s="2"/>
      <c r="T9" s="2"/>
      <c r="U9" s="2"/>
      <c r="V9" s="2"/>
      <c r="W9" s="2"/>
      <c r="X9" s="2"/>
      <c r="Y9" s="2"/>
      <c r="Z9" s="2"/>
      <c r="AA9" s="2"/>
      <c r="AB9" s="2"/>
      <c r="AC9" s="2"/>
      <c r="AD9" s="2"/>
      <c r="AE9" s="2"/>
      <c r="AF9" s="2"/>
      <c r="AG9" s="2"/>
      <c r="AH9" s="2"/>
      <c r="AI9" s="2"/>
      <c r="AJ9" s="2"/>
      <c r="AK9" s="2"/>
    </row>
    <row r="10" spans="1:37" x14ac:dyDescent="0.3">
      <c r="A10" s="2"/>
      <c r="B10" s="632"/>
      <c r="C10" s="10"/>
      <c r="D10" s="10"/>
      <c r="E10" s="10"/>
      <c r="F10" s="10"/>
      <c r="G10" s="198"/>
      <c r="H10" s="10"/>
      <c r="I10" s="10"/>
      <c r="J10" s="10"/>
      <c r="K10" s="179"/>
      <c r="L10" s="2"/>
      <c r="M10" s="200"/>
      <c r="N10" s="200"/>
      <c r="O10" s="2"/>
      <c r="P10" s="2"/>
      <c r="Q10" s="2"/>
      <c r="R10" s="2"/>
      <c r="S10" s="2"/>
      <c r="T10" s="2"/>
      <c r="U10" s="2"/>
      <c r="V10" s="2"/>
      <c r="W10" s="2"/>
      <c r="X10" s="2"/>
      <c r="Y10" s="2"/>
      <c r="Z10" s="2"/>
      <c r="AA10" s="2"/>
      <c r="AB10" s="2"/>
      <c r="AC10" s="2"/>
      <c r="AD10" s="2"/>
      <c r="AE10" s="2"/>
      <c r="AF10" s="2"/>
      <c r="AG10" s="2"/>
      <c r="AH10" s="2"/>
      <c r="AI10" s="2"/>
      <c r="AJ10" s="2"/>
      <c r="AK10" s="2"/>
    </row>
    <row r="11" spans="1:37" x14ac:dyDescent="0.3">
      <c r="A11" s="2"/>
      <c r="B11" s="632"/>
      <c r="C11" s="9" t="s">
        <v>21</v>
      </c>
      <c r="D11" s="9"/>
      <c r="E11" s="201">
        <v>76</v>
      </c>
      <c r="F11" s="198">
        <f>INPUT!F12</f>
        <v>0</v>
      </c>
      <c r="G11" s="198">
        <f>F11*K11</f>
        <v>0</v>
      </c>
      <c r="H11" s="198">
        <f>G11*E42</f>
        <v>0</v>
      </c>
      <c r="I11" s="198">
        <f>_xlfn.IFS(AND(INPUT!H12=1),Materialeoutput!F11*Materialeoutput!F48,AND(INPUT!H12=2),Materialeoutput!F11*Materialeoutput!F44,AND(INPUT!H12&gt;=3),Materialeoutput!F11*Materialeoutput!F46)*0.8</f>
        <v>0</v>
      </c>
      <c r="J11" s="198"/>
      <c r="K11" s="202">
        <v>0.01</v>
      </c>
      <c r="L11" s="203"/>
      <c r="M11" s="200" t="e">
        <f>H11/$H$18</f>
        <v>#DIV/0!</v>
      </c>
      <c r="N11" s="200" t="e">
        <f>I11/$I$18</f>
        <v>#DIV/0!</v>
      </c>
      <c r="O11" s="2"/>
      <c r="P11" s="2"/>
      <c r="Q11" s="2"/>
      <c r="R11" s="2"/>
      <c r="S11" s="2"/>
      <c r="T11" s="2"/>
      <c r="U11" s="2"/>
      <c r="V11" s="2"/>
      <c r="W11" s="2"/>
      <c r="X11" s="2"/>
      <c r="Y11" s="2"/>
      <c r="Z11" s="2"/>
      <c r="AA11" s="2"/>
      <c r="AB11" s="2"/>
      <c r="AC11" s="2"/>
      <c r="AD11" s="2"/>
      <c r="AE11" s="2"/>
      <c r="AF11" s="2"/>
      <c r="AG11" s="2"/>
      <c r="AH11" s="2"/>
      <c r="AI11" s="2"/>
      <c r="AJ11" s="2"/>
      <c r="AK11" s="2"/>
    </row>
    <row r="12" spans="1:37" x14ac:dyDescent="0.3">
      <c r="A12" s="2"/>
      <c r="B12" s="632"/>
      <c r="C12" s="9"/>
      <c r="D12" s="9"/>
      <c r="E12" s="201"/>
      <c r="F12" s="198"/>
      <c r="G12" s="198"/>
      <c r="H12" s="198"/>
      <c r="I12" s="198"/>
      <c r="J12" s="198"/>
      <c r="K12" s="202"/>
      <c r="L12" s="204"/>
      <c r="M12" s="205"/>
      <c r="N12" s="200"/>
      <c r="O12" s="2"/>
      <c r="P12" s="2"/>
      <c r="Q12" s="2"/>
      <c r="R12" s="2"/>
      <c r="S12" s="2"/>
      <c r="T12" s="2"/>
      <c r="U12" s="2"/>
      <c r="V12" s="2"/>
      <c r="W12" s="2"/>
      <c r="X12" s="2"/>
      <c r="Y12" s="2"/>
      <c r="Z12" s="2"/>
      <c r="AA12" s="2"/>
      <c r="AB12" s="2"/>
      <c r="AC12" s="2"/>
      <c r="AD12" s="2"/>
      <c r="AE12" s="2"/>
      <c r="AF12" s="2"/>
      <c r="AG12" s="2"/>
      <c r="AH12" s="2"/>
      <c r="AI12" s="2"/>
      <c r="AJ12" s="2"/>
      <c r="AK12" s="2"/>
    </row>
    <row r="13" spans="1:37" x14ac:dyDescent="0.3">
      <c r="A13" s="2"/>
      <c r="B13" s="632"/>
      <c r="C13" s="10" t="s">
        <v>25</v>
      </c>
      <c r="D13" s="10"/>
      <c r="E13" s="10">
        <f>F13*Argumenter!C23</f>
        <v>0</v>
      </c>
      <c r="F13" s="10">
        <f>INPUT!F17</f>
        <v>0</v>
      </c>
      <c r="G13" s="10">
        <f>F13*K13</f>
        <v>0</v>
      </c>
      <c r="H13" s="10">
        <f>G13*E49</f>
        <v>0</v>
      </c>
      <c r="I13" s="161">
        <f>H13*F49*0.8</f>
        <v>0</v>
      </c>
      <c r="J13" s="161"/>
      <c r="K13" s="179">
        <v>0.1</v>
      </c>
      <c r="L13" s="2"/>
      <c r="M13" s="200" t="e">
        <f>H13/$H$18</f>
        <v>#DIV/0!</v>
      </c>
      <c r="N13" s="200" t="e">
        <f>I13/$I$18</f>
        <v>#DIV/0!</v>
      </c>
      <c r="O13" s="2"/>
      <c r="P13" s="2"/>
      <c r="Q13" s="2"/>
      <c r="R13" s="2"/>
      <c r="S13" s="206"/>
      <c r="T13" s="2"/>
      <c r="U13" s="2"/>
      <c r="V13" s="2"/>
      <c r="W13" s="2"/>
      <c r="X13" s="2"/>
      <c r="Y13" s="2"/>
      <c r="Z13" s="2"/>
      <c r="AA13" s="2"/>
      <c r="AB13" s="2"/>
      <c r="AC13" s="2"/>
      <c r="AD13" s="2"/>
      <c r="AE13" s="2"/>
      <c r="AF13" s="2"/>
      <c r="AG13" s="2"/>
      <c r="AH13" s="2"/>
      <c r="AI13" s="2"/>
      <c r="AJ13" s="2"/>
      <c r="AK13" s="2"/>
    </row>
    <row r="14" spans="1:37" x14ac:dyDescent="0.3">
      <c r="A14" s="2"/>
      <c r="B14" s="632"/>
      <c r="C14" s="10"/>
      <c r="D14" s="10"/>
      <c r="E14" s="10"/>
      <c r="F14" s="10"/>
      <c r="G14" s="10"/>
      <c r="H14" s="10"/>
      <c r="I14" s="161"/>
      <c r="J14" s="161"/>
      <c r="K14" s="179"/>
      <c r="L14" s="2"/>
      <c r="M14" s="200"/>
      <c r="N14" s="200"/>
      <c r="O14" s="2"/>
      <c r="P14" s="2"/>
      <c r="Q14" s="2"/>
      <c r="R14" s="2"/>
      <c r="S14" s="206"/>
      <c r="T14" s="2"/>
      <c r="U14" s="2"/>
      <c r="V14" s="2"/>
      <c r="W14" s="2"/>
      <c r="X14" s="2"/>
      <c r="Y14" s="2"/>
      <c r="Z14" s="2"/>
      <c r="AA14" s="2"/>
      <c r="AB14" s="2"/>
      <c r="AC14" s="2"/>
      <c r="AD14" s="2"/>
      <c r="AE14" s="2"/>
      <c r="AF14" s="2"/>
      <c r="AG14" s="2"/>
      <c r="AH14" s="2"/>
      <c r="AI14" s="2"/>
      <c r="AJ14" s="2"/>
      <c r="AK14" s="2"/>
    </row>
    <row r="15" spans="1:37" x14ac:dyDescent="0.3">
      <c r="A15" s="2"/>
      <c r="B15" s="632"/>
      <c r="C15" s="10"/>
      <c r="D15" s="10"/>
      <c r="E15" s="10"/>
      <c r="F15" s="10"/>
      <c r="G15" s="10"/>
      <c r="H15" s="10"/>
      <c r="I15" s="161"/>
      <c r="J15" s="161"/>
      <c r="K15" s="10"/>
      <c r="L15" s="2"/>
      <c r="M15" s="200"/>
      <c r="N15" s="200"/>
      <c r="O15" s="2"/>
      <c r="P15" s="2"/>
      <c r="Q15" s="2"/>
      <c r="R15" s="2"/>
      <c r="S15" s="206"/>
      <c r="T15" s="2"/>
      <c r="U15" s="2"/>
      <c r="V15" s="2"/>
      <c r="W15" s="2"/>
      <c r="X15" s="2"/>
      <c r="Y15" s="2"/>
      <c r="Z15" s="2"/>
      <c r="AA15" s="2"/>
      <c r="AB15" s="2"/>
      <c r="AC15" s="2"/>
      <c r="AD15" s="2"/>
      <c r="AE15" s="2"/>
      <c r="AF15" s="2"/>
      <c r="AG15" s="2"/>
      <c r="AH15" s="2"/>
      <c r="AI15" s="2"/>
      <c r="AJ15" s="2"/>
      <c r="AK15" s="2"/>
    </row>
    <row r="16" spans="1:37" ht="88.5" customHeight="1" x14ac:dyDescent="0.3">
      <c r="A16" s="2"/>
      <c r="B16" s="632"/>
      <c r="C16" s="10"/>
      <c r="D16" s="10"/>
      <c r="E16" s="10"/>
      <c r="F16" s="10"/>
      <c r="G16" s="10"/>
      <c r="H16" s="10"/>
      <c r="I16" s="161"/>
      <c r="J16" s="161"/>
      <c r="K16" s="10"/>
      <c r="L16" s="2"/>
      <c r="M16" s="200"/>
      <c r="N16" s="200"/>
      <c r="O16" s="2"/>
      <c r="P16" s="2"/>
      <c r="Q16" s="2"/>
      <c r="R16" s="2"/>
      <c r="S16" s="206"/>
      <c r="T16" s="2"/>
      <c r="U16" s="2"/>
      <c r="V16" s="2"/>
      <c r="W16" s="2"/>
      <c r="X16" s="2"/>
      <c r="Y16" s="2"/>
      <c r="Z16" s="2"/>
      <c r="AA16" s="2"/>
      <c r="AB16" s="2"/>
      <c r="AC16" s="2"/>
      <c r="AD16" s="2"/>
      <c r="AE16" s="2"/>
      <c r="AF16" s="2"/>
      <c r="AG16" s="2"/>
      <c r="AH16" s="2"/>
      <c r="AI16" s="2"/>
      <c r="AJ16" s="2"/>
      <c r="AK16" s="2"/>
    </row>
    <row r="17" spans="1:37" x14ac:dyDescent="0.3">
      <c r="A17" s="2"/>
      <c r="B17" s="2"/>
      <c r="C17" s="10"/>
      <c r="D17" s="10"/>
      <c r="E17" s="10"/>
      <c r="F17" s="10"/>
      <c r="G17" s="10"/>
      <c r="H17" s="10"/>
      <c r="I17" s="161"/>
      <c r="J17" s="161"/>
      <c r="K17" s="10"/>
      <c r="L17" s="2"/>
      <c r="M17" s="200"/>
      <c r="N17" s="200"/>
      <c r="O17" s="2"/>
      <c r="P17" s="2"/>
      <c r="Q17" s="2"/>
      <c r="R17" s="207"/>
      <c r="S17" s="207"/>
      <c r="T17" s="2"/>
      <c r="U17" s="2"/>
      <c r="V17" s="2"/>
      <c r="W17" s="2"/>
      <c r="X17" s="2"/>
      <c r="Y17" s="2"/>
      <c r="Z17" s="2"/>
      <c r="AA17" s="2"/>
      <c r="AB17" s="2"/>
      <c r="AC17" s="2"/>
      <c r="AD17" s="2"/>
      <c r="AE17" s="2"/>
      <c r="AF17" s="2"/>
      <c r="AG17" s="2"/>
      <c r="AH17" s="2"/>
      <c r="AI17" s="2"/>
      <c r="AJ17" s="2"/>
      <c r="AK17" s="2"/>
    </row>
    <row r="18" spans="1:37" ht="17.25" thickBot="1" x14ac:dyDescent="0.35">
      <c r="A18" s="2"/>
      <c r="B18" s="208" t="s">
        <v>316</v>
      </c>
      <c r="C18" s="208"/>
      <c r="D18" s="208"/>
      <c r="E18" s="208"/>
      <c r="F18" s="209">
        <f>SUM(F8:F17)</f>
        <v>0</v>
      </c>
      <c r="G18" s="209">
        <f>SUM(G8:G17)</f>
        <v>0</v>
      </c>
      <c r="H18" s="209">
        <f>SUM(H8:H17)</f>
        <v>0</v>
      </c>
      <c r="I18" s="209">
        <f>SUM(I8:I17)</f>
        <v>0</v>
      </c>
      <c r="J18" s="209"/>
      <c r="K18" s="208"/>
      <c r="L18" s="208"/>
      <c r="M18" s="210" t="e">
        <f>SUM(M8:M17)</f>
        <v>#DIV/0!</v>
      </c>
      <c r="N18" s="210" t="e">
        <f>SUM(N8:N17)</f>
        <v>#DIV/0!</v>
      </c>
      <c r="O18" s="207"/>
      <c r="P18" s="2"/>
      <c r="Q18" s="2"/>
      <c r="R18" s="207"/>
      <c r="T18" s="2"/>
      <c r="U18" s="2"/>
      <c r="V18" s="211"/>
      <c r="W18" s="2"/>
      <c r="X18" s="2"/>
      <c r="Y18" s="2"/>
      <c r="Z18" s="2"/>
      <c r="AA18" s="2"/>
      <c r="AB18" s="2"/>
      <c r="AC18" s="2"/>
      <c r="AD18" s="2"/>
      <c r="AE18" s="2"/>
      <c r="AF18" s="2"/>
      <c r="AG18" s="2"/>
      <c r="AH18" s="2"/>
      <c r="AI18" s="2"/>
      <c r="AJ18" s="2"/>
      <c r="AK18" s="2"/>
    </row>
    <row r="19" spans="1:37" ht="17.25" thickTop="1" x14ac:dyDescent="0.3">
      <c r="A19" s="2"/>
      <c r="B19" s="2"/>
      <c r="C19" s="2"/>
      <c r="D19" s="2"/>
      <c r="E19" s="2"/>
      <c r="F19" s="2"/>
      <c r="G19" s="2"/>
      <c r="H19" s="2"/>
      <c r="I19" s="207"/>
      <c r="J19" s="207"/>
      <c r="K19" s="2"/>
      <c r="L19" s="2"/>
      <c r="M19" s="2"/>
      <c r="N19" s="2"/>
      <c r="O19" s="200"/>
      <c r="P19" s="207"/>
      <c r="Q19" s="212"/>
      <c r="R19" s="207"/>
      <c r="S19" s="207"/>
      <c r="T19" s="2"/>
      <c r="U19" s="2"/>
      <c r="V19" s="2"/>
      <c r="W19" s="2"/>
      <c r="X19" s="2"/>
      <c r="Y19" s="2"/>
      <c r="Z19" s="2"/>
      <c r="AA19" s="2"/>
      <c r="AB19" s="2"/>
      <c r="AC19" s="2"/>
      <c r="AD19" s="2"/>
      <c r="AE19" s="2"/>
      <c r="AF19" s="2"/>
      <c r="AG19" s="2"/>
      <c r="AH19" s="2"/>
      <c r="AI19" s="2"/>
      <c r="AJ19" s="2"/>
      <c r="AK19" s="2"/>
    </row>
    <row r="20" spans="1:37" x14ac:dyDescent="0.3">
      <c r="A20" s="2"/>
      <c r="B20" s="2"/>
      <c r="C20" s="2"/>
      <c r="D20" s="2"/>
      <c r="E20" s="2"/>
      <c r="F20" s="2"/>
      <c r="G20" s="2"/>
      <c r="H20" s="2"/>
      <c r="I20" s="207"/>
      <c r="J20" s="207"/>
      <c r="K20" s="2"/>
      <c r="L20" s="2"/>
      <c r="M20" s="2"/>
      <c r="N20" s="2"/>
      <c r="O20" s="200"/>
      <c r="P20" s="207"/>
      <c r="Q20" s="213"/>
      <c r="R20" s="207"/>
      <c r="S20" s="207"/>
      <c r="T20" s="2"/>
      <c r="U20" s="2"/>
      <c r="V20" s="2"/>
      <c r="W20" s="2"/>
      <c r="X20" s="2"/>
      <c r="Y20" s="2"/>
      <c r="Z20" s="2"/>
      <c r="AA20" s="2"/>
      <c r="AB20" s="2"/>
      <c r="AC20" s="2"/>
      <c r="AD20" s="2"/>
      <c r="AE20" s="2"/>
      <c r="AF20" s="2"/>
      <c r="AG20" s="2"/>
      <c r="AH20" s="2"/>
      <c r="AI20" s="2"/>
      <c r="AJ20" s="2"/>
      <c r="AK20" s="2"/>
    </row>
    <row r="21" spans="1:37" ht="8.1" customHeight="1" x14ac:dyDescent="0.3">
      <c r="A21" s="2"/>
      <c r="B21" s="2"/>
      <c r="C21" s="2"/>
      <c r="D21" s="2"/>
      <c r="E21" s="2"/>
      <c r="F21" s="2"/>
      <c r="G21" s="2"/>
      <c r="H21" s="2"/>
      <c r="I21" s="207"/>
      <c r="J21" s="207"/>
      <c r="K21" s="2"/>
      <c r="L21" s="2"/>
      <c r="M21" s="2"/>
      <c r="N21" s="2"/>
      <c r="O21" s="200"/>
      <c r="P21" s="2"/>
      <c r="Q21" s="459"/>
      <c r="R21" s="2"/>
      <c r="S21" s="2"/>
      <c r="T21" s="2"/>
      <c r="U21" s="2"/>
      <c r="V21" s="2"/>
      <c r="W21" s="2"/>
      <c r="X21" s="2"/>
      <c r="Y21" s="2"/>
      <c r="Z21" s="2"/>
      <c r="AA21" s="2"/>
      <c r="AB21" s="2"/>
      <c r="AC21" s="2"/>
      <c r="AD21" s="2"/>
      <c r="AE21" s="2"/>
      <c r="AF21" s="2"/>
      <c r="AG21" s="2"/>
      <c r="AH21" s="2"/>
      <c r="AI21" s="2"/>
      <c r="AJ21" s="2"/>
      <c r="AK21" s="2"/>
    </row>
    <row r="22" spans="1:37" ht="44.1" hidden="1" customHeight="1" x14ac:dyDescent="0.3">
      <c r="A22" s="2"/>
      <c r="B22" s="404" t="s">
        <v>308</v>
      </c>
      <c r="C22" s="404" t="s">
        <v>309</v>
      </c>
      <c r="D22" s="404" t="s">
        <v>310</v>
      </c>
      <c r="E22" s="405" t="s">
        <v>311</v>
      </c>
      <c r="F22" s="405" t="s">
        <v>45</v>
      </c>
      <c r="G22" s="405" t="s">
        <v>294</v>
      </c>
      <c r="H22" s="404" t="s">
        <v>312</v>
      </c>
      <c r="I22" s="405" t="s">
        <v>313</v>
      </c>
      <c r="J22" s="405"/>
      <c r="K22" s="404" t="s">
        <v>314</v>
      </c>
      <c r="L22" s="406"/>
      <c r="M22" s="405" t="s">
        <v>45</v>
      </c>
      <c r="N22" s="405" t="s">
        <v>315</v>
      </c>
      <c r="O22" s="200"/>
      <c r="P22" s="460"/>
      <c r="Q22" s="214"/>
      <c r="R22" s="214"/>
      <c r="S22" s="2"/>
      <c r="T22" s="2"/>
      <c r="U22" s="2"/>
      <c r="V22" s="214"/>
      <c r="W22" s="214"/>
      <c r="X22" s="214"/>
      <c r="Y22" s="2"/>
      <c r="Z22" s="2"/>
      <c r="AA22" s="2"/>
      <c r="AB22" s="2"/>
      <c r="AC22" s="2"/>
      <c r="AD22" s="2"/>
      <c r="AE22" s="2"/>
      <c r="AF22" s="2"/>
      <c r="AG22" s="2"/>
      <c r="AH22" s="2"/>
      <c r="AI22" s="2"/>
      <c r="AJ22" s="2"/>
      <c r="AK22" s="2"/>
    </row>
    <row r="23" spans="1:37" hidden="1" x14ac:dyDescent="0.3">
      <c r="A23" s="2"/>
      <c r="B23" s="196"/>
      <c r="C23" s="196"/>
      <c r="D23" s="196"/>
      <c r="E23" s="197"/>
      <c r="F23" s="197"/>
      <c r="G23" s="197"/>
      <c r="H23" s="196"/>
      <c r="I23" s="197"/>
      <c r="J23" s="197"/>
      <c r="K23" s="197"/>
      <c r="L23" s="2"/>
      <c r="M23" s="2"/>
      <c r="N23" s="2"/>
      <c r="O23" s="200"/>
      <c r="P23" s="196"/>
      <c r="Q23" s="2"/>
      <c r="R23" s="2"/>
      <c r="S23" s="2"/>
      <c r="T23" s="2"/>
      <c r="U23" s="2"/>
      <c r="V23" s="2"/>
      <c r="W23" s="2"/>
      <c r="X23" s="2"/>
      <c r="Y23" s="2"/>
      <c r="Z23" s="2"/>
      <c r="AA23" s="2"/>
      <c r="AB23" s="2"/>
      <c r="AC23" s="2"/>
      <c r="AD23" s="2"/>
      <c r="AE23" s="2"/>
      <c r="AF23" s="2"/>
      <c r="AG23" s="2"/>
      <c r="AH23" s="2"/>
      <c r="AI23" s="2"/>
      <c r="AJ23" s="2"/>
      <c r="AK23" s="2"/>
    </row>
    <row r="24" spans="1:37" hidden="1" x14ac:dyDescent="0.3">
      <c r="A24" s="2"/>
      <c r="B24" s="633" t="s">
        <v>72</v>
      </c>
      <c r="C24" s="10" t="s">
        <v>114</v>
      </c>
      <c r="D24" s="2"/>
      <c r="E24" s="2"/>
      <c r="F24" s="2" t="e">
        <f>#REF!</f>
        <v>#REF!</v>
      </c>
      <c r="G24" s="455" t="e">
        <f>#REF!*#REF!</f>
        <v>#REF!</v>
      </c>
      <c r="H24" s="2" t="e">
        <f>G24*E58</f>
        <v>#REF!</v>
      </c>
      <c r="I24" s="87" t="e">
        <f>((F58+F59+F60+F61)/4)*G24</f>
        <v>#REF!</v>
      </c>
      <c r="J24" s="87"/>
      <c r="K24" s="215" t="e">
        <f>#REF!</f>
        <v>#REF!</v>
      </c>
      <c r="L24" s="2"/>
      <c r="M24" s="200" t="e">
        <f>H24/$H$33</f>
        <v>#REF!</v>
      </c>
      <c r="N24" s="200" t="e">
        <f>I24/$I$33</f>
        <v>#REF!</v>
      </c>
      <c r="O24" s="200"/>
      <c r="P24" s="2"/>
      <c r="Q24" s="2"/>
      <c r="R24" s="2"/>
      <c r="S24" s="2"/>
      <c r="T24" s="2"/>
      <c r="U24" s="2"/>
      <c r="V24" s="2"/>
      <c r="W24" s="2"/>
      <c r="X24" s="2"/>
      <c r="Y24" s="2"/>
      <c r="Z24" s="2"/>
      <c r="AA24" s="2"/>
      <c r="AB24" s="2"/>
      <c r="AC24" s="2"/>
      <c r="AD24" s="2"/>
      <c r="AE24" s="2"/>
      <c r="AF24" s="2"/>
      <c r="AG24" s="2"/>
      <c r="AH24" s="2"/>
      <c r="AI24" s="2"/>
      <c r="AJ24" s="2"/>
      <c r="AK24" s="2"/>
    </row>
    <row r="25" spans="1:37" hidden="1" x14ac:dyDescent="0.3">
      <c r="A25" s="2"/>
      <c r="B25" s="633"/>
      <c r="C25" s="10"/>
      <c r="D25" s="2"/>
      <c r="E25" s="2"/>
      <c r="F25" s="2"/>
      <c r="G25" s="455"/>
      <c r="H25" s="2"/>
      <c r="I25" s="2"/>
      <c r="J25" s="2"/>
      <c r="K25" s="215"/>
      <c r="L25" s="2"/>
      <c r="M25" s="200" t="e">
        <f>H25/$H$33</f>
        <v>#REF!</v>
      </c>
      <c r="N25" s="200"/>
      <c r="O25" s="2"/>
      <c r="P25" s="2"/>
      <c r="Q25" s="2"/>
      <c r="R25" s="2"/>
      <c r="S25" s="2"/>
      <c r="T25" s="2"/>
      <c r="U25" s="2"/>
      <c r="V25" s="2"/>
      <c r="W25" s="2"/>
      <c r="X25" s="2"/>
      <c r="Y25" s="2"/>
      <c r="Z25" s="2"/>
      <c r="AA25" s="2"/>
      <c r="AB25" s="2"/>
      <c r="AC25" s="2"/>
      <c r="AD25" s="2"/>
      <c r="AE25" s="2"/>
      <c r="AF25" s="2"/>
      <c r="AG25" s="2"/>
      <c r="AH25" s="2"/>
      <c r="AI25" s="2"/>
      <c r="AJ25" s="2"/>
      <c r="AK25" s="2"/>
    </row>
    <row r="26" spans="1:37" hidden="1" x14ac:dyDescent="0.3">
      <c r="A26" s="2"/>
      <c r="B26" s="633"/>
      <c r="C26" s="9" t="s">
        <v>131</v>
      </c>
      <c r="D26" s="216"/>
      <c r="E26" s="217"/>
      <c r="F26" s="456" t="e">
        <f>#REF!</f>
        <v>#REF!</v>
      </c>
      <c r="G26" s="455" t="e">
        <f>#REF!*#REF!</f>
        <v>#REF!</v>
      </c>
      <c r="H26" s="456" t="e">
        <f>G26*E57</f>
        <v>#REF!</v>
      </c>
      <c r="I26" s="455" t="e">
        <f>(F57+G57)*G26</f>
        <v>#REF!</v>
      </c>
      <c r="J26" s="455"/>
      <c r="K26" s="215" t="e">
        <f>#REF!</f>
        <v>#REF!</v>
      </c>
      <c r="L26" s="203"/>
      <c r="M26" s="200" t="e">
        <f>H26/$H$33</f>
        <v>#REF!</v>
      </c>
      <c r="N26" s="200" t="e">
        <f>I26/$I$33</f>
        <v>#REF!</v>
      </c>
      <c r="O26" s="2"/>
      <c r="P26" s="456"/>
      <c r="Q26" s="2"/>
      <c r="R26" s="2"/>
      <c r="S26" s="2"/>
      <c r="T26" s="2"/>
      <c r="U26" s="2"/>
      <c r="V26" s="2"/>
      <c r="W26" s="2"/>
      <c r="X26" s="2"/>
      <c r="Y26" s="2"/>
      <c r="Z26" s="2"/>
      <c r="AA26" s="2"/>
      <c r="AB26" s="2"/>
      <c r="AC26" s="2"/>
      <c r="AD26" s="2"/>
      <c r="AE26" s="2"/>
      <c r="AF26" s="2"/>
      <c r="AG26" s="2"/>
      <c r="AH26" s="2"/>
      <c r="AI26" s="2"/>
      <c r="AJ26" s="2"/>
      <c r="AK26" s="2"/>
    </row>
    <row r="27" spans="1:37" hidden="1" x14ac:dyDescent="0.3">
      <c r="A27" s="2"/>
      <c r="B27" s="633"/>
      <c r="C27" s="9"/>
      <c r="D27" s="216"/>
      <c r="E27" s="217"/>
      <c r="F27" s="456"/>
      <c r="G27" s="455"/>
      <c r="H27" s="456"/>
      <c r="I27" s="455"/>
      <c r="J27" s="455"/>
      <c r="K27" s="457"/>
      <c r="L27" s="204"/>
      <c r="M27" s="200" t="e">
        <f>H27/$H$33</f>
        <v>#REF!</v>
      </c>
      <c r="N27" s="200"/>
      <c r="O27" s="2"/>
      <c r="P27" s="456"/>
      <c r="Q27" s="2"/>
      <c r="R27" s="2"/>
      <c r="S27" s="2"/>
      <c r="T27" s="2"/>
      <c r="U27" s="2"/>
      <c r="V27" s="2"/>
      <c r="W27" s="2"/>
      <c r="X27" s="2"/>
      <c r="Y27" s="2"/>
      <c r="Z27" s="2"/>
      <c r="AA27" s="2"/>
      <c r="AB27" s="2"/>
      <c r="AC27" s="2"/>
      <c r="AD27" s="2"/>
      <c r="AE27" s="2"/>
      <c r="AF27" s="2"/>
      <c r="AG27" s="2"/>
      <c r="AH27" s="2"/>
      <c r="AI27" s="2"/>
      <c r="AJ27" s="2"/>
      <c r="AK27" s="2"/>
    </row>
    <row r="28" spans="1:37" hidden="1" x14ac:dyDescent="0.3">
      <c r="A28" s="2"/>
      <c r="B28" s="633"/>
      <c r="C28" s="10" t="s">
        <v>137</v>
      </c>
      <c r="D28" s="2"/>
      <c r="E28" s="2"/>
      <c r="F28" s="2" t="e">
        <f>#REF!</f>
        <v>#REF!</v>
      </c>
      <c r="G28" s="2" t="e">
        <f>#REF!*#REF!</f>
        <v>#REF!</v>
      </c>
      <c r="H28" s="207" t="e">
        <f>G28*E54</f>
        <v>#REF!</v>
      </c>
      <c r="I28" s="207" t="e">
        <f>G28*(F54+G54)</f>
        <v>#REF!</v>
      </c>
      <c r="J28" s="207"/>
      <c r="K28" s="215" t="e">
        <f>#REF!</f>
        <v>#REF!</v>
      </c>
      <c r="L28" s="2"/>
      <c r="M28" s="200" t="e">
        <f>H28/$H$33</f>
        <v>#REF!</v>
      </c>
      <c r="N28" s="200" t="e">
        <f>I28/$I$33</f>
        <v>#REF!</v>
      </c>
      <c r="O28" s="2"/>
      <c r="P28" s="207"/>
      <c r="Q28" s="2"/>
      <c r="R28" s="2"/>
      <c r="S28" s="2"/>
      <c r="T28" s="2"/>
      <c r="U28" s="2"/>
      <c r="V28" s="2"/>
      <c r="W28" s="2"/>
      <c r="X28" s="2"/>
      <c r="Y28" s="2"/>
      <c r="Z28" s="2"/>
      <c r="AA28" s="2"/>
      <c r="AB28" s="2"/>
      <c r="AC28" s="2"/>
      <c r="AD28" s="2"/>
      <c r="AE28" s="2"/>
      <c r="AF28" s="2"/>
      <c r="AG28" s="2"/>
      <c r="AH28" s="2"/>
      <c r="AI28" s="2"/>
      <c r="AJ28" s="2"/>
      <c r="AK28" s="2"/>
    </row>
    <row r="29" spans="1:37" hidden="1" x14ac:dyDescent="0.3">
      <c r="A29" s="2"/>
      <c r="B29" s="633"/>
      <c r="C29" s="10"/>
      <c r="D29" s="2"/>
      <c r="E29" s="2"/>
      <c r="F29" s="2"/>
      <c r="G29" s="2"/>
      <c r="H29" s="2"/>
      <c r="I29" s="207"/>
      <c r="J29" s="207"/>
      <c r="K29" s="215"/>
      <c r="L29" s="2"/>
      <c r="M29" s="200"/>
      <c r="N29" s="200"/>
      <c r="O29" s="2"/>
      <c r="P29" s="2"/>
      <c r="Q29" s="2"/>
      <c r="R29" s="2"/>
      <c r="S29" s="2"/>
      <c r="T29" s="2"/>
      <c r="U29" s="2"/>
      <c r="V29" s="2"/>
      <c r="W29" s="2"/>
      <c r="X29" s="2"/>
      <c r="Y29" s="2"/>
      <c r="Z29" s="2"/>
      <c r="AA29" s="2"/>
      <c r="AB29" s="2"/>
      <c r="AC29" s="2"/>
      <c r="AD29" s="2"/>
      <c r="AE29" s="2"/>
      <c r="AF29" s="2"/>
      <c r="AG29" s="2"/>
      <c r="AH29" s="2"/>
      <c r="AI29" s="2"/>
      <c r="AJ29" s="2"/>
      <c r="AK29" s="2"/>
    </row>
    <row r="30" spans="1:37" hidden="1" x14ac:dyDescent="0.3">
      <c r="A30" s="2"/>
      <c r="B30" s="633"/>
      <c r="C30" s="10"/>
      <c r="D30" s="2"/>
      <c r="E30" s="2"/>
      <c r="F30" s="2"/>
      <c r="G30" s="2"/>
      <c r="H30" s="2"/>
      <c r="I30" s="207"/>
      <c r="J30" s="207"/>
      <c r="K30" s="2"/>
      <c r="L30" s="2"/>
      <c r="M30" s="200"/>
      <c r="N30" s="200"/>
      <c r="O30" s="2"/>
      <c r="P30" s="2"/>
      <c r="Q30" s="2"/>
      <c r="R30" s="2"/>
      <c r="S30" s="2"/>
      <c r="T30" s="2"/>
      <c r="U30" s="2"/>
      <c r="V30" s="2"/>
      <c r="W30" s="2"/>
      <c r="X30" s="2"/>
      <c r="Y30" s="2"/>
      <c r="Z30" s="2"/>
      <c r="AA30" s="2"/>
      <c r="AB30" s="2"/>
      <c r="AC30" s="2"/>
      <c r="AD30" s="2"/>
      <c r="AE30" s="2"/>
      <c r="AF30" s="2"/>
      <c r="AG30" s="2"/>
      <c r="AH30" s="2"/>
      <c r="AI30" s="2"/>
      <c r="AJ30" s="2"/>
      <c r="AK30" s="2"/>
    </row>
    <row r="31" spans="1:37" hidden="1" x14ac:dyDescent="0.3">
      <c r="A31" s="2"/>
      <c r="B31" s="633"/>
      <c r="C31" s="10"/>
      <c r="D31" s="2"/>
      <c r="E31" s="2"/>
      <c r="F31" s="2"/>
      <c r="G31" s="2"/>
      <c r="H31" s="2"/>
      <c r="I31" s="207"/>
      <c r="J31" s="207"/>
      <c r="K31" s="2"/>
      <c r="L31" s="2"/>
      <c r="M31" s="200"/>
      <c r="N31" s="200"/>
      <c r="O31" s="2"/>
      <c r="P31" s="2"/>
      <c r="Q31" s="2"/>
      <c r="R31" s="2"/>
      <c r="S31" s="2"/>
      <c r="T31" s="2"/>
      <c r="U31" s="2"/>
      <c r="V31" s="2"/>
      <c r="W31" s="2"/>
      <c r="X31" s="2"/>
      <c r="Y31" s="2"/>
      <c r="Z31" s="2"/>
      <c r="AA31" s="2"/>
      <c r="AB31" s="2"/>
      <c r="AC31" s="2"/>
      <c r="AD31" s="2"/>
      <c r="AE31" s="2"/>
      <c r="AF31" s="2"/>
      <c r="AG31" s="2"/>
      <c r="AH31" s="2"/>
      <c r="AI31" s="2"/>
      <c r="AJ31" s="2"/>
      <c r="AK31" s="2"/>
    </row>
    <row r="32" spans="1:37" hidden="1" x14ac:dyDescent="0.3">
      <c r="A32" s="2"/>
      <c r="B32" s="2"/>
      <c r="C32" s="10"/>
      <c r="D32" s="2"/>
      <c r="E32" s="2"/>
      <c r="F32" s="2"/>
      <c r="G32" s="2"/>
      <c r="H32" s="2"/>
      <c r="I32" s="207"/>
      <c r="J32" s="207"/>
      <c r="K32" s="2"/>
      <c r="L32" s="2"/>
      <c r="M32" s="200"/>
      <c r="N32" s="200"/>
      <c r="O32" s="2"/>
      <c r="P32" s="2"/>
      <c r="Q32" s="2"/>
      <c r="R32" s="2"/>
      <c r="S32" s="2"/>
      <c r="T32" s="2"/>
      <c r="U32" s="2"/>
      <c r="V32" s="2"/>
      <c r="W32" s="2"/>
      <c r="X32" s="2"/>
      <c r="Y32" s="2"/>
      <c r="Z32" s="2"/>
      <c r="AA32" s="2"/>
      <c r="AB32" s="2"/>
      <c r="AC32" s="2"/>
      <c r="AD32" s="2"/>
      <c r="AE32" s="2"/>
      <c r="AF32" s="2"/>
      <c r="AG32" s="2"/>
      <c r="AH32" s="2"/>
      <c r="AI32" s="2"/>
      <c r="AJ32" s="2"/>
      <c r="AK32" s="2"/>
    </row>
    <row r="33" spans="1:37" ht="17.25" hidden="1" thickBot="1" x14ac:dyDescent="0.35">
      <c r="A33" s="2"/>
      <c r="B33" s="208" t="s">
        <v>316</v>
      </c>
      <c r="C33" s="208"/>
      <c r="D33" s="208"/>
      <c r="E33" s="208"/>
      <c r="F33" s="209" t="e">
        <f>SUM(F23:F32)</f>
        <v>#REF!</v>
      </c>
      <c r="G33" s="209" t="e">
        <f>SUM(G23:G32)</f>
        <v>#REF!</v>
      </c>
      <c r="H33" s="209" t="e">
        <f>SUM(H23:H32)</f>
        <v>#REF!</v>
      </c>
      <c r="I33" s="209" t="e">
        <f>SUM(I23:I32)</f>
        <v>#REF!</v>
      </c>
      <c r="J33" s="209"/>
      <c r="K33" s="208"/>
      <c r="L33" s="208"/>
      <c r="M33" s="210" t="e">
        <f>SUM(M23:M32)</f>
        <v>#REF!</v>
      </c>
      <c r="N33" s="210" t="e">
        <f>SUM(N23:N32)</f>
        <v>#REF!</v>
      </c>
      <c r="O33" s="207"/>
      <c r="P33" s="207"/>
      <c r="Q33" s="2"/>
      <c r="R33" s="2"/>
      <c r="S33" s="2"/>
      <c r="T33" s="2"/>
      <c r="U33" s="2"/>
      <c r="V33" s="2"/>
      <c r="W33" s="2"/>
      <c r="X33" s="2"/>
      <c r="Y33" s="2"/>
      <c r="Z33" s="2"/>
      <c r="AA33" s="2"/>
      <c r="AB33" s="2"/>
      <c r="AC33" s="2"/>
      <c r="AD33" s="2"/>
      <c r="AE33" s="2"/>
      <c r="AF33" s="2"/>
      <c r="AG33" s="2"/>
      <c r="AH33" s="2"/>
      <c r="AI33" s="2"/>
      <c r="AJ33" s="2"/>
      <c r="AK33" s="2"/>
    </row>
    <row r="34" spans="1:37" x14ac:dyDescent="0.3">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row>
    <row r="35" spans="1:37" x14ac:dyDescent="0.3">
      <c r="A35" s="2"/>
      <c r="B35" s="2"/>
      <c r="C35" s="2"/>
      <c r="D35" s="2"/>
      <c r="E35" s="2"/>
      <c r="F35" s="2"/>
      <c r="G35" s="2"/>
      <c r="H35" s="2"/>
      <c r="I35" s="2"/>
      <c r="J35" s="2"/>
      <c r="K35" s="2"/>
      <c r="L35" s="2"/>
      <c r="M35" s="2"/>
      <c r="N35" s="2"/>
      <c r="O35" s="2"/>
      <c r="P35" s="2"/>
      <c r="Q35" s="2"/>
      <c r="R35" s="2"/>
      <c r="S35" s="2"/>
      <c r="T35" s="2"/>
      <c r="U35" s="2"/>
      <c r="V35" s="214"/>
      <c r="W35" s="214"/>
      <c r="X35" s="214"/>
      <c r="Y35" s="2"/>
      <c r="Z35" s="2"/>
      <c r="AA35" s="2"/>
      <c r="AB35" s="2"/>
      <c r="AC35" s="2"/>
      <c r="AD35" s="2"/>
      <c r="AE35" s="2"/>
      <c r="AF35" s="2"/>
      <c r="AG35" s="2"/>
      <c r="AH35" s="2"/>
      <c r="AI35" s="2"/>
      <c r="AJ35" s="2"/>
      <c r="AK35" s="2"/>
    </row>
    <row r="36" spans="1:37" x14ac:dyDescent="0.3">
      <c r="A36" s="2"/>
      <c r="B36" s="2"/>
      <c r="C36" s="2"/>
      <c r="D36" s="2"/>
      <c r="E36" s="2"/>
      <c r="F36" s="2"/>
      <c r="G36" s="2"/>
      <c r="H36" s="2"/>
      <c r="I36" s="2"/>
      <c r="J36" s="2"/>
      <c r="K36" s="2"/>
      <c r="L36" s="2"/>
      <c r="M36" s="2"/>
      <c r="N36" s="2"/>
      <c r="O36" s="2"/>
      <c r="P36" s="2"/>
      <c r="Q36" s="2"/>
      <c r="R36" s="2"/>
      <c r="S36" s="2"/>
      <c r="T36" s="2"/>
      <c r="U36" s="2"/>
      <c r="V36" s="214"/>
      <c r="W36" s="214"/>
      <c r="X36" s="214"/>
      <c r="Y36" s="2"/>
      <c r="Z36" s="2"/>
      <c r="AA36" s="2"/>
      <c r="AB36" s="2"/>
      <c r="AC36" s="2"/>
      <c r="AD36" s="2"/>
      <c r="AE36" s="2"/>
      <c r="AF36" s="2"/>
      <c r="AG36" s="2"/>
      <c r="AH36" s="2"/>
      <c r="AI36" s="2"/>
      <c r="AJ36" s="2"/>
      <c r="AK36" s="2"/>
    </row>
    <row r="37" spans="1:37" x14ac:dyDescent="0.3">
      <c r="A37" s="2"/>
      <c r="B37" s="2"/>
      <c r="C37" s="218"/>
      <c r="D37" s="218"/>
      <c r="E37" s="219"/>
      <c r="F37" s="220"/>
      <c r="G37" s="220"/>
      <c r="H37" s="220"/>
      <c r="I37" s="219"/>
      <c r="J37" s="219"/>
      <c r="K37" s="2"/>
      <c r="L37" s="2"/>
      <c r="M37" s="2"/>
      <c r="N37" s="214"/>
      <c r="O37" s="214"/>
      <c r="P37" s="214"/>
      <c r="Q37" s="214"/>
      <c r="R37" s="214"/>
      <c r="S37" s="214"/>
      <c r="T37" s="214"/>
      <c r="U37" s="2"/>
      <c r="V37" s="214"/>
      <c r="W37" s="214"/>
      <c r="X37" s="214"/>
      <c r="Y37" s="2"/>
      <c r="Z37" s="2"/>
      <c r="AA37" s="2"/>
      <c r="AB37" s="2"/>
      <c r="AC37" s="2"/>
      <c r="AD37" s="2"/>
      <c r="AE37" s="2"/>
      <c r="AF37" s="2"/>
      <c r="AG37" s="2"/>
      <c r="AH37" s="2"/>
      <c r="AI37" s="2"/>
      <c r="AJ37" s="2"/>
      <c r="AK37" s="2"/>
    </row>
    <row r="38" spans="1:37" x14ac:dyDescent="0.3">
      <c r="A38" s="2"/>
      <c r="B38" s="221"/>
      <c r="C38" s="222"/>
      <c r="D38" s="223"/>
      <c r="E38" s="224"/>
      <c r="F38" s="224"/>
      <c r="G38" s="224"/>
      <c r="H38" s="224"/>
      <c r="I38" s="225"/>
      <c r="J38" s="2"/>
      <c r="K38" s="2"/>
      <c r="L38" s="2"/>
      <c r="M38" s="2"/>
      <c r="N38" s="214"/>
      <c r="O38" s="214"/>
      <c r="P38" s="214"/>
      <c r="Q38" s="214"/>
      <c r="R38" s="214"/>
      <c r="S38" s="214"/>
      <c r="T38" s="214"/>
      <c r="U38" s="2"/>
      <c r="V38" s="214"/>
      <c r="W38" s="214"/>
      <c r="X38" s="214"/>
      <c r="Y38" s="2"/>
      <c r="Z38" s="2"/>
      <c r="AA38" s="2"/>
      <c r="AB38" s="2"/>
      <c r="AC38" s="2"/>
      <c r="AD38" s="2"/>
      <c r="AE38" s="2"/>
      <c r="AF38" s="2"/>
      <c r="AG38" s="2"/>
      <c r="AH38" s="2"/>
      <c r="AI38" s="2"/>
      <c r="AJ38" s="2"/>
      <c r="AK38" s="2"/>
    </row>
    <row r="39" spans="1:37" ht="26.25" x14ac:dyDescent="0.35">
      <c r="A39" s="2"/>
      <c r="B39" s="226" t="s">
        <v>317</v>
      </c>
      <c r="C39" s="216"/>
      <c r="D39" s="216"/>
      <c r="E39" s="227"/>
      <c r="F39" s="227"/>
      <c r="G39" s="227"/>
      <c r="H39" s="227"/>
      <c r="I39" s="215"/>
      <c r="J39" s="2"/>
      <c r="K39" s="2"/>
      <c r="L39" s="2"/>
      <c r="M39" s="2"/>
      <c r="N39" s="214"/>
      <c r="O39" s="214"/>
      <c r="P39" s="214"/>
      <c r="Q39" s="214"/>
      <c r="R39" s="214"/>
      <c r="S39" s="214"/>
      <c r="T39" s="214"/>
      <c r="U39" s="2"/>
      <c r="V39" s="214"/>
      <c r="W39" s="214"/>
      <c r="X39" s="214"/>
      <c r="Y39" s="2"/>
      <c r="Z39" s="2"/>
      <c r="AA39" s="2"/>
      <c r="AB39" s="2"/>
      <c r="AC39" s="2"/>
      <c r="AD39" s="2"/>
      <c r="AE39" s="2"/>
      <c r="AF39" s="2"/>
      <c r="AG39" s="2"/>
      <c r="AH39" s="2"/>
      <c r="AI39" s="2"/>
      <c r="AJ39" s="2"/>
      <c r="AK39" s="2"/>
    </row>
    <row r="40" spans="1:37" ht="27" x14ac:dyDescent="0.3">
      <c r="A40" s="2"/>
      <c r="B40" s="625" t="s">
        <v>71</v>
      </c>
      <c r="C40" s="407" t="s">
        <v>2</v>
      </c>
      <c r="D40" s="407" t="s">
        <v>318</v>
      </c>
      <c r="E40" s="408" t="s">
        <v>319</v>
      </c>
      <c r="F40" s="408" t="s">
        <v>320</v>
      </c>
      <c r="G40" s="408" t="s">
        <v>321</v>
      </c>
      <c r="H40" s="408" t="s">
        <v>322</v>
      </c>
      <c r="I40" s="409" t="s">
        <v>195</v>
      </c>
      <c r="J40" s="228"/>
      <c r="K40" s="2"/>
      <c r="L40" s="626" t="s">
        <v>323</v>
      </c>
      <c r="M40" s="627"/>
      <c r="N40" s="214"/>
      <c r="O40" s="214"/>
      <c r="P40" s="214"/>
      <c r="Q40" s="214"/>
      <c r="R40" s="214"/>
      <c r="S40" s="214"/>
      <c r="T40" s="214"/>
      <c r="U40" s="2"/>
      <c r="V40" s="214"/>
      <c r="W40" s="214"/>
      <c r="X40" s="214"/>
      <c r="Y40" s="2"/>
      <c r="Z40" s="2"/>
      <c r="AA40" s="2"/>
      <c r="AB40" s="2"/>
      <c r="AC40" s="2"/>
      <c r="AD40" s="2"/>
      <c r="AE40" s="2"/>
      <c r="AF40" s="2"/>
      <c r="AG40" s="2"/>
      <c r="AH40" s="2"/>
      <c r="AI40" s="2"/>
      <c r="AJ40" s="2"/>
      <c r="AK40" s="2"/>
    </row>
    <row r="41" spans="1:37" x14ac:dyDescent="0.3">
      <c r="A41" s="2"/>
      <c r="B41" s="625"/>
      <c r="C41" s="216" t="s">
        <v>324</v>
      </c>
      <c r="D41" s="216" t="s">
        <v>325</v>
      </c>
      <c r="E41" s="227">
        <v>2.13</v>
      </c>
      <c r="F41" s="227">
        <v>276</v>
      </c>
      <c r="G41" s="227">
        <v>0</v>
      </c>
      <c r="H41" s="227">
        <v>0</v>
      </c>
      <c r="I41" s="229" t="s">
        <v>312</v>
      </c>
      <c r="J41" s="230"/>
      <c r="K41" s="2"/>
      <c r="L41" s="628"/>
      <c r="M41" s="629"/>
      <c r="N41" s="214"/>
      <c r="O41" s="214"/>
      <c r="P41" s="214"/>
      <c r="Q41" s="214"/>
      <c r="R41" s="214"/>
      <c r="S41" s="214"/>
      <c r="T41" s="214"/>
      <c r="U41" s="2"/>
      <c r="V41" s="214"/>
      <c r="W41" s="214"/>
      <c r="X41" s="214"/>
      <c r="Y41" s="2"/>
      <c r="Z41" s="2"/>
      <c r="AA41" s="2"/>
      <c r="AB41" s="2"/>
      <c r="AC41" s="2"/>
      <c r="AD41" s="2"/>
      <c r="AE41" s="2"/>
      <c r="AF41" s="2"/>
      <c r="AG41" s="2"/>
      <c r="AH41" s="2"/>
      <c r="AI41" s="2"/>
      <c r="AJ41" s="2"/>
      <c r="AK41" s="2"/>
    </row>
    <row r="42" spans="1:37" ht="16.5" customHeight="1" x14ac:dyDescent="0.3">
      <c r="A42" s="2"/>
      <c r="B42" s="625"/>
      <c r="C42" s="216" t="s">
        <v>326</v>
      </c>
      <c r="D42" s="216" t="s">
        <v>327</v>
      </c>
      <c r="E42" s="227">
        <v>2.54</v>
      </c>
      <c r="F42" s="227">
        <v>125.81037037037036</v>
      </c>
      <c r="G42" s="227">
        <v>0</v>
      </c>
      <c r="H42" s="227">
        <v>0</v>
      </c>
      <c r="I42" s="229" t="s">
        <v>45</v>
      </c>
      <c r="J42" s="216"/>
      <c r="K42" s="2"/>
      <c r="L42" s="628"/>
      <c r="M42" s="629"/>
      <c r="N42" s="214"/>
      <c r="O42" s="214"/>
      <c r="P42" s="214"/>
      <c r="Q42" s="214"/>
      <c r="R42" s="214"/>
      <c r="S42" s="214"/>
      <c r="T42" s="214"/>
      <c r="U42" s="2"/>
      <c r="V42" s="214"/>
      <c r="W42" s="214"/>
      <c r="X42" s="214"/>
      <c r="Y42" s="2"/>
      <c r="Z42" s="2"/>
      <c r="AA42" s="2"/>
      <c r="AB42" s="2"/>
      <c r="AC42" s="2"/>
      <c r="AD42" s="2"/>
      <c r="AE42" s="2"/>
      <c r="AF42" s="2"/>
      <c r="AG42" s="2"/>
      <c r="AH42" s="2"/>
      <c r="AI42" s="2"/>
      <c r="AJ42" s="2"/>
      <c r="AK42" s="2"/>
    </row>
    <row r="43" spans="1:37" x14ac:dyDescent="0.3">
      <c r="A43" s="2"/>
      <c r="B43" s="625"/>
      <c r="C43" s="216" t="s">
        <v>326</v>
      </c>
      <c r="D43" s="216" t="s">
        <v>328</v>
      </c>
      <c r="E43" s="207">
        <v>2.54</v>
      </c>
      <c r="F43" s="207">
        <v>58.075787408657639</v>
      </c>
      <c r="G43" s="227">
        <v>0</v>
      </c>
      <c r="H43" s="227">
        <v>0</v>
      </c>
      <c r="I43" s="229" t="s">
        <v>45</v>
      </c>
      <c r="J43" s="216"/>
      <c r="K43" s="2"/>
      <c r="L43" s="628"/>
      <c r="M43" s="629"/>
      <c r="N43" s="214"/>
      <c r="O43" s="214"/>
      <c r="P43" s="214"/>
      <c r="Q43" s="214"/>
      <c r="R43" s="214"/>
      <c r="S43" s="214"/>
      <c r="T43" s="214"/>
      <c r="U43" s="2"/>
      <c r="V43" s="214"/>
      <c r="W43" s="214"/>
      <c r="X43" s="214"/>
      <c r="Y43" s="2"/>
      <c r="Z43" s="2"/>
      <c r="AA43" s="2"/>
      <c r="AB43" s="2"/>
      <c r="AC43" s="2"/>
      <c r="AD43" s="2"/>
      <c r="AE43" s="2"/>
      <c r="AF43" s="2"/>
      <c r="AG43" s="2"/>
      <c r="AH43" s="2"/>
      <c r="AI43" s="2"/>
      <c r="AJ43" s="2"/>
      <c r="AK43" s="2"/>
    </row>
    <row r="44" spans="1:37" x14ac:dyDescent="0.3">
      <c r="A44" s="2"/>
      <c r="B44" s="625"/>
      <c r="C44" s="216" t="s">
        <v>326</v>
      </c>
      <c r="D44" s="216" t="s">
        <v>329</v>
      </c>
      <c r="E44" s="227">
        <v>2.54</v>
      </c>
      <c r="F44" s="227">
        <v>58.075787408657639</v>
      </c>
      <c r="G44" s="227">
        <v>0</v>
      </c>
      <c r="H44" s="227">
        <v>0</v>
      </c>
      <c r="I44" s="229" t="s">
        <v>45</v>
      </c>
      <c r="J44" s="216"/>
      <c r="K44" s="2"/>
      <c r="L44" s="628"/>
      <c r="M44" s="629"/>
      <c r="N44" s="214"/>
      <c r="O44" s="214"/>
      <c r="P44" s="214"/>
      <c r="Q44" s="214"/>
      <c r="R44" s="214"/>
      <c r="S44" s="214"/>
      <c r="T44" s="214"/>
      <c r="U44" s="2"/>
      <c r="V44" s="214"/>
      <c r="W44" s="214"/>
      <c r="X44" s="214"/>
      <c r="Y44" s="2"/>
      <c r="Z44" s="2"/>
      <c r="AA44" s="2"/>
      <c r="AB44" s="2"/>
      <c r="AC44" s="2"/>
      <c r="AD44" s="2"/>
      <c r="AE44" s="2"/>
      <c r="AF44" s="2"/>
      <c r="AG44" s="2"/>
      <c r="AH44" s="2"/>
      <c r="AI44" s="2"/>
      <c r="AJ44" s="2"/>
      <c r="AK44" s="2"/>
    </row>
    <row r="45" spans="1:37" x14ac:dyDescent="0.3">
      <c r="A45" s="2"/>
      <c r="B45" s="625"/>
      <c r="C45" s="216" t="s">
        <v>326</v>
      </c>
      <c r="D45" s="216" t="s">
        <v>330</v>
      </c>
      <c r="E45" s="207">
        <v>2.54</v>
      </c>
      <c r="F45" s="227">
        <v>188.71555555555554</v>
      </c>
      <c r="G45" s="227">
        <v>0</v>
      </c>
      <c r="H45" s="227">
        <v>0</v>
      </c>
      <c r="I45" s="229" t="s">
        <v>45</v>
      </c>
      <c r="J45" s="216"/>
      <c r="K45" s="2"/>
      <c r="L45" s="628"/>
      <c r="M45" s="629"/>
      <c r="N45" s="214"/>
      <c r="O45" s="214"/>
      <c r="P45" s="214"/>
      <c r="Q45" s="214"/>
      <c r="R45" s="214"/>
      <c r="S45" s="214"/>
      <c r="T45" s="214"/>
      <c r="U45" s="2"/>
      <c r="V45" s="214"/>
      <c r="W45" s="214"/>
      <c r="X45" s="214"/>
      <c r="Y45" s="2"/>
      <c r="Z45" s="2"/>
      <c r="AA45" s="2"/>
      <c r="AB45" s="2"/>
      <c r="AC45" s="2"/>
      <c r="AD45" s="2"/>
      <c r="AE45" s="2"/>
      <c r="AF45" s="2"/>
      <c r="AG45" s="2"/>
      <c r="AH45" s="2"/>
      <c r="AI45" s="2"/>
      <c r="AJ45" s="2"/>
      <c r="AK45" s="2"/>
    </row>
    <row r="46" spans="1:37" x14ac:dyDescent="0.3">
      <c r="A46" s="2"/>
      <c r="B46" s="625"/>
      <c r="C46" s="216" t="s">
        <v>326</v>
      </c>
      <c r="D46" s="216" t="s">
        <v>331</v>
      </c>
      <c r="E46" s="207">
        <v>2.54</v>
      </c>
      <c r="F46" s="207">
        <v>63.082381713570051</v>
      </c>
      <c r="G46" s="207">
        <v>0</v>
      </c>
      <c r="H46" s="207">
        <v>0</v>
      </c>
      <c r="I46" s="229" t="s">
        <v>45</v>
      </c>
      <c r="J46" s="216"/>
      <c r="K46" s="2"/>
      <c r="L46" s="628"/>
      <c r="M46" s="629"/>
      <c r="N46" s="214"/>
      <c r="O46" s="231"/>
      <c r="P46" s="214"/>
      <c r="Q46" s="214"/>
      <c r="R46" s="214"/>
      <c r="S46" s="214"/>
      <c r="T46" s="214"/>
      <c r="U46" s="2"/>
      <c r="V46" s="214"/>
      <c r="W46" s="214"/>
      <c r="X46" s="214"/>
      <c r="Y46" s="2"/>
      <c r="Z46" s="2"/>
      <c r="AA46" s="2"/>
      <c r="AB46" s="2"/>
      <c r="AC46" s="2"/>
      <c r="AD46" s="2"/>
      <c r="AE46" s="2"/>
      <c r="AF46" s="2"/>
      <c r="AG46" s="2"/>
      <c r="AH46" s="2"/>
      <c r="AI46" s="2"/>
      <c r="AJ46" s="2"/>
      <c r="AK46" s="2"/>
    </row>
    <row r="47" spans="1:37" x14ac:dyDescent="0.3">
      <c r="A47" s="2"/>
      <c r="B47" s="625"/>
      <c r="C47" s="216" t="s">
        <v>326</v>
      </c>
      <c r="D47" s="216" t="s">
        <v>332</v>
      </c>
      <c r="E47" s="207">
        <v>2.54</v>
      </c>
      <c r="F47" s="207">
        <v>63.082381713570051</v>
      </c>
      <c r="G47" s="207">
        <v>0</v>
      </c>
      <c r="H47" s="207">
        <v>0</v>
      </c>
      <c r="I47" s="229" t="s">
        <v>45</v>
      </c>
      <c r="J47" s="216"/>
      <c r="K47" s="2"/>
      <c r="L47" s="628"/>
      <c r="M47" s="629"/>
      <c r="N47" s="214"/>
      <c r="O47" s="214"/>
      <c r="P47" s="214"/>
      <c r="Q47" s="214"/>
      <c r="R47" s="214"/>
      <c r="S47" s="214"/>
      <c r="T47" s="214"/>
      <c r="U47" s="2"/>
      <c r="V47" s="214"/>
      <c r="W47" s="214"/>
      <c r="X47" s="214"/>
      <c r="Y47" s="2"/>
      <c r="Z47" s="2"/>
      <c r="AA47" s="2"/>
      <c r="AB47" s="2"/>
      <c r="AC47" s="2"/>
      <c r="AD47" s="2"/>
      <c r="AE47" s="2"/>
      <c r="AF47" s="2"/>
      <c r="AG47" s="2"/>
      <c r="AH47" s="2"/>
      <c r="AI47" s="2"/>
      <c r="AJ47" s="2"/>
      <c r="AK47" s="2"/>
    </row>
    <row r="48" spans="1:37" x14ac:dyDescent="0.3">
      <c r="A48" s="2"/>
      <c r="B48" s="625"/>
      <c r="C48" s="216" t="s">
        <v>326</v>
      </c>
      <c r="D48" s="216" t="s">
        <v>333</v>
      </c>
      <c r="E48" s="227">
        <v>2.54</v>
      </c>
      <c r="F48" s="227">
        <v>53.271666666666668</v>
      </c>
      <c r="G48" s="227">
        <v>3.3455000000000004</v>
      </c>
      <c r="H48" s="227">
        <v>0</v>
      </c>
      <c r="I48" s="229" t="s">
        <v>45</v>
      </c>
      <c r="J48" s="216"/>
      <c r="K48" s="2"/>
      <c r="L48" s="630"/>
      <c r="M48" s="631"/>
      <c r="N48" s="214"/>
      <c r="O48" s="214"/>
      <c r="P48" s="214"/>
      <c r="Q48" s="214"/>
      <c r="R48" s="214"/>
      <c r="S48" s="214"/>
      <c r="T48" s="214"/>
      <c r="U48" s="2"/>
      <c r="V48" s="2"/>
      <c r="W48" s="2"/>
      <c r="X48" s="2"/>
      <c r="Y48" s="2"/>
      <c r="Z48" s="2"/>
      <c r="AA48" s="2"/>
      <c r="AB48" s="2"/>
      <c r="AC48" s="2"/>
      <c r="AD48" s="2"/>
      <c r="AE48" s="2"/>
      <c r="AF48" s="2"/>
      <c r="AG48" s="2"/>
      <c r="AH48" s="2"/>
      <c r="AI48" s="2"/>
      <c r="AJ48" s="2"/>
      <c r="AK48" s="2"/>
    </row>
    <row r="49" spans="1:37" x14ac:dyDescent="0.3">
      <c r="A49" s="2"/>
      <c r="B49" s="625"/>
      <c r="C49" s="216" t="s">
        <v>334</v>
      </c>
      <c r="D49" s="216" t="s">
        <v>335</v>
      </c>
      <c r="E49" s="227">
        <v>1.84</v>
      </c>
      <c r="F49" s="227">
        <v>236.18333333333331</v>
      </c>
      <c r="G49" s="227">
        <v>2.5666666666666664</v>
      </c>
      <c r="H49" s="227">
        <v>-4.1933333333333334</v>
      </c>
      <c r="I49" s="229" t="s">
        <v>312</v>
      </c>
      <c r="J49" s="216"/>
      <c r="K49" s="2"/>
      <c r="L49" s="2"/>
      <c r="M49" s="2"/>
      <c r="N49" s="214"/>
      <c r="O49" s="214"/>
      <c r="P49" s="214"/>
      <c r="Q49" s="2"/>
      <c r="R49" s="2"/>
      <c r="S49" s="2"/>
      <c r="T49" s="2"/>
      <c r="U49" s="2"/>
      <c r="V49" s="2"/>
      <c r="W49" s="2"/>
      <c r="X49" s="2"/>
      <c r="Y49" s="2"/>
      <c r="Z49" s="2"/>
      <c r="AA49" s="2"/>
      <c r="AB49" s="2"/>
      <c r="AC49" s="2"/>
      <c r="AD49" s="2"/>
      <c r="AE49" s="2"/>
      <c r="AF49" s="2"/>
      <c r="AG49" s="2"/>
      <c r="AH49" s="2"/>
      <c r="AI49" s="2"/>
      <c r="AJ49" s="2"/>
      <c r="AK49" s="2"/>
    </row>
    <row r="50" spans="1:37" ht="3" customHeight="1" x14ac:dyDescent="0.3">
      <c r="A50" s="2"/>
      <c r="B50" s="175"/>
      <c r="C50" s="216"/>
      <c r="D50" s="216"/>
      <c r="E50" s="216"/>
      <c r="F50" s="230"/>
      <c r="G50" s="230"/>
      <c r="H50" s="230"/>
      <c r="I50" s="216"/>
      <c r="J50" s="232"/>
      <c r="K50" s="2"/>
      <c r="L50" s="2"/>
      <c r="M50" s="2"/>
      <c r="N50" s="214"/>
      <c r="O50" s="214"/>
      <c r="P50" s="214"/>
      <c r="Q50" s="2"/>
      <c r="R50" s="2"/>
      <c r="S50" s="2"/>
      <c r="T50" s="2"/>
      <c r="U50" s="2"/>
      <c r="V50" s="2"/>
      <c r="W50" s="2"/>
      <c r="X50" s="2"/>
      <c r="Y50" s="2"/>
      <c r="Z50" s="2"/>
      <c r="AA50" s="2"/>
      <c r="AB50" s="2"/>
      <c r="AC50" s="2"/>
      <c r="AD50" s="2"/>
      <c r="AE50" s="2"/>
      <c r="AF50" s="2"/>
      <c r="AG50" s="2"/>
      <c r="AH50" s="2"/>
      <c r="AI50" s="2"/>
      <c r="AJ50" s="2"/>
      <c r="AK50" s="2"/>
    </row>
    <row r="51" spans="1:37" hidden="1" x14ac:dyDescent="0.3">
      <c r="A51" s="2"/>
      <c r="B51" s="175"/>
      <c r="C51" s="2"/>
      <c r="D51" s="2"/>
      <c r="E51" s="2"/>
      <c r="F51" s="2"/>
      <c r="G51" s="2"/>
      <c r="H51" s="2"/>
      <c r="I51" s="215"/>
      <c r="J51" s="2"/>
      <c r="K51" s="2"/>
      <c r="L51" s="2"/>
      <c r="M51" s="2"/>
      <c r="N51" s="214"/>
      <c r="O51" s="214"/>
      <c r="P51" s="214"/>
      <c r="Q51" s="2"/>
      <c r="R51" s="2"/>
      <c r="S51" s="2"/>
      <c r="T51" s="2"/>
      <c r="U51" s="2"/>
      <c r="V51" s="2"/>
      <c r="W51" s="2"/>
      <c r="X51" s="2"/>
      <c r="Y51" s="2"/>
      <c r="Z51" s="2"/>
      <c r="AA51" s="2"/>
      <c r="AB51" s="2"/>
      <c r="AC51" s="2"/>
      <c r="AD51" s="2"/>
      <c r="AE51" s="2"/>
      <c r="AF51" s="2"/>
      <c r="AG51" s="2"/>
      <c r="AH51" s="2"/>
      <c r="AI51" s="2"/>
      <c r="AJ51" s="2"/>
      <c r="AK51" s="2"/>
    </row>
    <row r="52" spans="1:37" hidden="1" x14ac:dyDescent="0.3">
      <c r="A52" s="2"/>
      <c r="B52" s="175"/>
      <c r="C52" s="2"/>
      <c r="D52" s="2"/>
      <c r="E52" s="2"/>
      <c r="F52" s="2"/>
      <c r="G52" s="2"/>
      <c r="H52" s="2"/>
      <c r="I52" s="215"/>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hidden="1" x14ac:dyDescent="0.3">
      <c r="A53" s="2"/>
      <c r="B53" s="634" t="s">
        <v>72</v>
      </c>
      <c r="C53" s="216" t="s">
        <v>336</v>
      </c>
      <c r="D53" s="216" t="s">
        <v>25</v>
      </c>
      <c r="E53" s="233">
        <v>2</v>
      </c>
      <c r="F53" s="234">
        <v>262</v>
      </c>
      <c r="G53" s="230">
        <f>0.00273*2000</f>
        <v>5.46</v>
      </c>
      <c r="H53" s="227"/>
      <c r="I53" s="229" t="s">
        <v>294</v>
      </c>
      <c r="J53" s="216"/>
      <c r="K53" s="2"/>
      <c r="N53" s="2"/>
      <c r="O53" s="2"/>
      <c r="P53" s="2"/>
      <c r="Q53" s="2"/>
      <c r="R53" s="2"/>
      <c r="S53" s="2"/>
      <c r="T53" s="2"/>
      <c r="U53" s="2"/>
      <c r="V53" s="2"/>
      <c r="W53" s="2"/>
      <c r="X53" s="2"/>
      <c r="Y53" s="2"/>
      <c r="Z53" s="2"/>
      <c r="AA53" s="2"/>
      <c r="AB53" s="2"/>
      <c r="AC53" s="2"/>
      <c r="AD53" s="2"/>
      <c r="AE53" s="2"/>
      <c r="AF53" s="2"/>
      <c r="AG53" s="2"/>
      <c r="AH53" s="2"/>
      <c r="AI53" s="2"/>
      <c r="AJ53" s="2"/>
      <c r="AK53" s="2"/>
    </row>
    <row r="54" spans="1:37" hidden="1" x14ac:dyDescent="0.3">
      <c r="A54" s="2"/>
      <c r="B54" s="634"/>
      <c r="C54" s="216" t="s">
        <v>337</v>
      </c>
      <c r="D54" s="216" t="s">
        <v>338</v>
      </c>
      <c r="E54" s="233">
        <v>2.4</v>
      </c>
      <c r="F54" s="234">
        <v>232</v>
      </c>
      <c r="G54" s="230">
        <f>1.38</f>
        <v>1.38</v>
      </c>
      <c r="H54" s="227"/>
      <c r="I54" s="229" t="s">
        <v>294</v>
      </c>
      <c r="J54" s="216"/>
      <c r="K54" s="2"/>
      <c r="N54" s="2"/>
      <c r="O54" s="2"/>
      <c r="P54" s="2"/>
      <c r="Q54" s="2"/>
      <c r="R54" s="2"/>
      <c r="S54" s="2"/>
      <c r="T54" s="2"/>
      <c r="U54" s="2"/>
      <c r="V54" s="2"/>
      <c r="W54" s="2"/>
      <c r="X54" s="2"/>
      <c r="Y54" s="2"/>
      <c r="Z54" s="2"/>
      <c r="AA54" s="2"/>
      <c r="AB54" s="2"/>
      <c r="AC54" s="2"/>
      <c r="AD54" s="2"/>
      <c r="AE54" s="2"/>
      <c r="AF54" s="2"/>
      <c r="AG54" s="2"/>
      <c r="AH54" s="2"/>
      <c r="AI54" s="2"/>
      <c r="AJ54" s="2"/>
      <c r="AK54" s="2"/>
    </row>
    <row r="55" spans="1:37" hidden="1" x14ac:dyDescent="0.3">
      <c r="A55" s="2"/>
      <c r="B55" s="634"/>
      <c r="C55" s="216" t="s">
        <v>339</v>
      </c>
      <c r="D55" s="216" t="s">
        <v>338</v>
      </c>
      <c r="E55" s="233">
        <v>1.2</v>
      </c>
      <c r="F55" s="234">
        <v>95.8</v>
      </c>
      <c r="G55" s="230">
        <f>0.00273*1200</f>
        <v>3.2759999999999998</v>
      </c>
      <c r="H55" s="227"/>
      <c r="I55" s="229" t="s">
        <v>294</v>
      </c>
      <c r="J55" s="216"/>
      <c r="K55" s="2"/>
      <c r="N55" s="2"/>
      <c r="O55" s="2"/>
      <c r="P55" s="2"/>
      <c r="Q55" s="2"/>
      <c r="R55" s="2"/>
      <c r="S55" s="2"/>
      <c r="T55" s="2"/>
      <c r="U55" s="2"/>
      <c r="V55" s="2"/>
      <c r="W55" s="2"/>
      <c r="X55" s="2"/>
      <c r="Y55" s="2"/>
      <c r="Z55" s="2"/>
      <c r="AA55" s="2"/>
      <c r="AB55" s="2"/>
      <c r="AC55" s="2"/>
      <c r="AD55" s="2"/>
      <c r="AE55" s="2"/>
      <c r="AF55" s="2"/>
      <c r="AG55" s="2"/>
      <c r="AH55" s="2"/>
      <c r="AI55" s="2"/>
      <c r="AJ55" s="2"/>
      <c r="AK55" s="2"/>
    </row>
    <row r="56" spans="1:37" hidden="1" x14ac:dyDescent="0.3">
      <c r="A56" s="2"/>
      <c r="B56" s="634"/>
      <c r="C56" s="216" t="s">
        <v>340</v>
      </c>
      <c r="D56" s="216" t="s">
        <v>341</v>
      </c>
      <c r="E56" s="233">
        <v>0.20799999999999999</v>
      </c>
      <c r="F56" s="233">
        <v>5.83</v>
      </c>
      <c r="G56" s="230">
        <f>0.00273*208</f>
        <v>0.5678399999999999</v>
      </c>
      <c r="H56" s="227"/>
      <c r="I56" s="229" t="s">
        <v>45</v>
      </c>
      <c r="J56" s="216"/>
      <c r="K56" s="2"/>
      <c r="N56" s="2"/>
      <c r="O56" s="2"/>
      <c r="P56" s="2"/>
      <c r="Q56" s="2"/>
      <c r="R56" s="2"/>
      <c r="S56" s="2"/>
      <c r="T56" s="2"/>
      <c r="U56" s="2"/>
      <c r="V56" s="2"/>
      <c r="W56" s="2"/>
      <c r="X56" s="2"/>
      <c r="Y56" s="2"/>
      <c r="Z56" s="2"/>
      <c r="AA56" s="2"/>
      <c r="AB56" s="2"/>
      <c r="AC56" s="2"/>
      <c r="AD56" s="2"/>
      <c r="AE56" s="2"/>
      <c r="AF56" s="2"/>
      <c r="AG56" s="2"/>
      <c r="AH56" s="2"/>
      <c r="AI56" s="2"/>
      <c r="AJ56" s="2"/>
      <c r="AK56" s="2"/>
    </row>
    <row r="57" spans="1:37" hidden="1" x14ac:dyDescent="0.3">
      <c r="A57" s="2"/>
      <c r="B57" s="634"/>
      <c r="C57" s="216" t="s">
        <v>342</v>
      </c>
      <c r="D57" s="216" t="s">
        <v>341</v>
      </c>
      <c r="E57" s="233">
        <v>2.4</v>
      </c>
      <c r="F57" s="234">
        <f>0.0993*2400</f>
        <v>238.32</v>
      </c>
      <c r="G57" s="235">
        <f>0.00273*2400</f>
        <v>6.5519999999999996</v>
      </c>
      <c r="H57" s="227"/>
      <c r="I57" s="229" t="s">
        <v>294</v>
      </c>
      <c r="J57" s="216"/>
      <c r="K57" s="2"/>
      <c r="N57" s="2"/>
      <c r="O57" s="2"/>
      <c r="P57" s="2"/>
      <c r="Q57" s="2"/>
      <c r="R57" s="2"/>
      <c r="S57" s="2"/>
      <c r="T57" s="2"/>
      <c r="U57" s="2"/>
      <c r="V57" s="2"/>
      <c r="W57" s="2"/>
      <c r="X57" s="2"/>
      <c r="Y57" s="2"/>
      <c r="Z57" s="2"/>
      <c r="AA57" s="2"/>
      <c r="AB57" s="2"/>
      <c r="AC57" s="2"/>
      <c r="AD57" s="2"/>
      <c r="AE57" s="2"/>
      <c r="AF57" s="2"/>
      <c r="AG57" s="2"/>
      <c r="AH57" s="2"/>
      <c r="AI57" s="2"/>
      <c r="AJ57" s="2"/>
      <c r="AK57" s="2"/>
    </row>
    <row r="58" spans="1:37" hidden="1" x14ac:dyDescent="0.3">
      <c r="A58" s="2"/>
      <c r="B58" s="634"/>
      <c r="C58" s="216" t="s">
        <v>114</v>
      </c>
      <c r="D58" s="216" t="s">
        <v>343</v>
      </c>
      <c r="E58" s="233">
        <v>1.85</v>
      </c>
      <c r="F58" s="233">
        <f>0.00285*1800</f>
        <v>5.13</v>
      </c>
      <c r="G58" s="235">
        <f>0.00673*1800</f>
        <v>12.113999999999999</v>
      </c>
      <c r="H58" s="227"/>
      <c r="I58" s="229" t="s">
        <v>294</v>
      </c>
      <c r="J58" s="216"/>
      <c r="K58" s="2"/>
      <c r="N58" s="2"/>
      <c r="O58" s="2"/>
      <c r="P58" s="2"/>
      <c r="Q58" s="2"/>
      <c r="R58" s="2"/>
      <c r="S58" s="2"/>
      <c r="T58" s="2"/>
      <c r="U58" s="2"/>
      <c r="V58" s="2"/>
      <c r="W58" s="2"/>
      <c r="X58" s="2"/>
      <c r="Y58" s="2"/>
      <c r="Z58" s="2"/>
      <c r="AA58" s="2"/>
      <c r="AB58" s="2"/>
      <c r="AC58" s="2"/>
      <c r="AD58" s="2"/>
      <c r="AE58" s="2"/>
      <c r="AF58" s="2"/>
      <c r="AG58" s="2"/>
      <c r="AH58" s="2"/>
      <c r="AI58" s="2"/>
      <c r="AJ58" s="2"/>
      <c r="AK58" s="2"/>
    </row>
    <row r="59" spans="1:37" hidden="1" x14ac:dyDescent="0.3">
      <c r="A59" s="2"/>
      <c r="B59" s="634"/>
      <c r="C59" s="216" t="s">
        <v>114</v>
      </c>
      <c r="D59" s="216" t="s">
        <v>344</v>
      </c>
      <c r="E59" s="233">
        <v>1.85</v>
      </c>
      <c r="F59" s="216">
        <f>0.03326*1700</f>
        <v>56.541999999999994</v>
      </c>
      <c r="G59" s="235">
        <f>0.00734*1700</f>
        <v>12.478</v>
      </c>
      <c r="H59" s="227"/>
      <c r="I59" s="229" t="s">
        <v>294</v>
      </c>
      <c r="J59" s="216"/>
      <c r="K59" s="2"/>
      <c r="N59" s="2"/>
      <c r="O59" s="2"/>
      <c r="P59" s="2"/>
      <c r="Q59" s="2"/>
      <c r="R59" s="2"/>
      <c r="S59" s="2"/>
      <c r="T59" s="2"/>
      <c r="U59" s="2"/>
      <c r="V59" s="2"/>
      <c r="W59" s="2"/>
      <c r="X59" s="2"/>
      <c r="Y59" s="2"/>
      <c r="Z59" s="2"/>
      <c r="AA59" s="2"/>
      <c r="AB59" s="2"/>
      <c r="AC59" s="2"/>
      <c r="AD59" s="2"/>
      <c r="AE59" s="2"/>
      <c r="AF59" s="2"/>
      <c r="AG59" s="2"/>
      <c r="AH59" s="2"/>
      <c r="AI59" s="2"/>
      <c r="AJ59" s="2"/>
      <c r="AK59" s="2"/>
    </row>
    <row r="60" spans="1:37" hidden="1" x14ac:dyDescent="0.3">
      <c r="A60" s="2"/>
      <c r="B60" s="634"/>
      <c r="C60" s="216" t="s">
        <v>114</v>
      </c>
      <c r="D60" s="216" t="s">
        <v>345</v>
      </c>
      <c r="E60" s="233">
        <v>1.35</v>
      </c>
      <c r="F60" s="227">
        <f>0.00285*2000</f>
        <v>5.7</v>
      </c>
      <c r="G60" s="235">
        <f>0.00673*2000</f>
        <v>13.459999999999999</v>
      </c>
      <c r="H60" s="227"/>
      <c r="I60" s="229" t="s">
        <v>294</v>
      </c>
      <c r="J60" s="216"/>
      <c r="K60" s="2"/>
      <c r="N60" s="2"/>
      <c r="O60" s="2"/>
      <c r="P60" s="2"/>
      <c r="Q60" s="2"/>
      <c r="R60" s="2"/>
      <c r="S60" s="2"/>
      <c r="T60" s="2"/>
      <c r="U60" s="2"/>
      <c r="V60" s="2"/>
      <c r="W60" s="2"/>
      <c r="X60" s="2"/>
      <c r="Y60" s="2"/>
      <c r="Z60" s="2"/>
      <c r="AA60" s="2"/>
      <c r="AB60" s="2"/>
      <c r="AC60" s="2"/>
      <c r="AD60" s="2"/>
      <c r="AE60" s="2"/>
      <c r="AF60" s="2"/>
      <c r="AG60" s="2"/>
      <c r="AH60" s="2"/>
      <c r="AI60" s="2"/>
      <c r="AJ60" s="2"/>
      <c r="AK60" s="2"/>
    </row>
    <row r="61" spans="1:37" hidden="1" x14ac:dyDescent="0.3">
      <c r="A61" s="2"/>
      <c r="B61" s="634"/>
      <c r="C61" s="216" t="s">
        <v>114</v>
      </c>
      <c r="D61" s="216" t="s">
        <v>346</v>
      </c>
      <c r="E61" s="233">
        <v>1.35</v>
      </c>
      <c r="F61" s="216">
        <f>0.03326*1900</f>
        <v>63.193999999999996</v>
      </c>
      <c r="G61" s="235">
        <f>0.00734*1900</f>
        <v>13.946</v>
      </c>
      <c r="H61" s="227"/>
      <c r="I61" s="229" t="s">
        <v>294</v>
      </c>
      <c r="J61" s="216"/>
      <c r="K61" s="2"/>
      <c r="N61" s="2"/>
      <c r="O61" s="2"/>
      <c r="P61" s="2"/>
      <c r="Q61" s="2"/>
      <c r="R61" s="2"/>
      <c r="S61" s="2"/>
      <c r="T61" s="2"/>
      <c r="U61" s="2"/>
      <c r="V61" s="2"/>
      <c r="W61" s="2"/>
      <c r="X61" s="2"/>
      <c r="Y61" s="2"/>
      <c r="Z61" s="2"/>
      <c r="AA61" s="2"/>
      <c r="AB61" s="2"/>
      <c r="AC61" s="2"/>
      <c r="AD61" s="2"/>
      <c r="AE61" s="2"/>
      <c r="AF61" s="2"/>
      <c r="AG61" s="2"/>
      <c r="AH61" s="2"/>
      <c r="AI61" s="2"/>
      <c r="AJ61" s="2"/>
      <c r="AK61" s="2"/>
    </row>
    <row r="62" spans="1:37" hidden="1" x14ac:dyDescent="0.3">
      <c r="A62" s="2"/>
      <c r="B62" s="236"/>
      <c r="C62" s="216"/>
      <c r="D62" s="216"/>
      <c r="E62" s="227"/>
      <c r="F62" s="227"/>
      <c r="G62" s="227"/>
      <c r="H62" s="227"/>
      <c r="I62" s="229"/>
      <c r="J62" s="216"/>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row>
    <row r="63" spans="1:37" ht="0.95" customHeight="1" x14ac:dyDescent="0.3">
      <c r="A63" s="2"/>
      <c r="B63" s="237"/>
      <c r="C63" s="238"/>
      <c r="D63" s="222"/>
      <c r="E63" s="239"/>
      <c r="F63" s="239"/>
      <c r="G63" s="239"/>
      <c r="H63" s="239"/>
      <c r="I63" s="222"/>
      <c r="J63" s="216"/>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row>
    <row r="64" spans="1:37" hidden="1" x14ac:dyDescent="0.3">
      <c r="A64" s="2"/>
      <c r="B64" s="181"/>
      <c r="C64" s="216" t="s">
        <v>347</v>
      </c>
      <c r="D64" s="216"/>
      <c r="E64" s="227"/>
      <c r="F64" s="227"/>
      <c r="G64" s="227"/>
      <c r="H64" s="227"/>
      <c r="I64" s="216"/>
      <c r="J64" s="216"/>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row>
    <row r="65" spans="1:37" x14ac:dyDescent="0.3">
      <c r="A65" s="2"/>
      <c r="B65" s="181"/>
      <c r="C65" s="216"/>
      <c r="D65" s="216"/>
      <c r="E65" s="240"/>
      <c r="F65" s="240"/>
      <c r="G65" s="240"/>
      <c r="H65" s="240"/>
      <c r="I65" s="216"/>
      <c r="J65" s="216"/>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row>
    <row r="66" spans="1:37" x14ac:dyDescent="0.3">
      <c r="A66" s="2"/>
      <c r="B66" s="181"/>
      <c r="C66" s="216"/>
      <c r="D66" s="214"/>
      <c r="E66" s="240"/>
      <c r="F66" s="240"/>
      <c r="G66" s="240"/>
      <c r="H66" s="240"/>
      <c r="I66" s="216"/>
      <c r="J66" s="216"/>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row>
    <row r="67" spans="1:37" x14ac:dyDescent="0.3">
      <c r="A67" s="2"/>
      <c r="B67" s="181"/>
      <c r="C67" s="216"/>
      <c r="D67" s="216"/>
      <c r="E67" s="207"/>
      <c r="F67" s="207"/>
      <c r="G67" s="207"/>
      <c r="H67" s="207"/>
      <c r="I67" s="216"/>
      <c r="J67" s="216"/>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row>
    <row r="68" spans="1:37" x14ac:dyDescent="0.3">
      <c r="A68" s="2"/>
      <c r="B68" s="181"/>
      <c r="C68" s="216"/>
      <c r="D68" s="216"/>
      <c r="E68" s="240"/>
      <c r="F68" s="240"/>
      <c r="G68" s="240"/>
      <c r="H68" s="240"/>
      <c r="I68" s="216"/>
      <c r="J68" s="216"/>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row>
    <row r="69" spans="1:37" x14ac:dyDescent="0.3">
      <c r="A69" s="2"/>
      <c r="B69" s="181"/>
      <c r="C69" s="216"/>
      <c r="D69" s="216"/>
      <c r="E69" s="227"/>
      <c r="F69" s="227"/>
      <c r="G69" s="227"/>
      <c r="H69" s="227"/>
      <c r="I69" s="216"/>
      <c r="J69" s="216"/>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row>
    <row r="70" spans="1:37" x14ac:dyDescent="0.3">
      <c r="A70" s="2"/>
      <c r="B70" s="181"/>
      <c r="C70" s="216"/>
      <c r="D70" s="216"/>
      <c r="E70" s="240"/>
      <c r="F70" s="240"/>
      <c r="G70" s="240"/>
      <c r="H70" s="240"/>
      <c r="I70" s="216"/>
      <c r="J70" s="216"/>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row>
    <row r="71" spans="1:37" x14ac:dyDescent="0.3">
      <c r="A71" s="2"/>
      <c r="B71" s="2"/>
      <c r="C71" s="241"/>
      <c r="D71" s="241"/>
      <c r="E71" s="240"/>
      <c r="F71" s="240"/>
      <c r="G71" s="240"/>
      <c r="H71" s="240"/>
      <c r="I71" s="216"/>
      <c r="J71" s="216"/>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row>
    <row r="72" spans="1:37" x14ac:dyDescent="0.3">
      <c r="A72" s="2"/>
      <c r="B72" s="2"/>
      <c r="C72" s="216"/>
      <c r="D72" s="216"/>
      <c r="E72" s="227"/>
      <c r="F72" s="227"/>
      <c r="G72" s="227"/>
      <c r="H72" s="227"/>
      <c r="I72" s="216"/>
      <c r="J72" s="216"/>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row>
    <row r="73" spans="1:37" x14ac:dyDescent="0.3">
      <c r="A73" s="2"/>
      <c r="B73" s="2"/>
      <c r="C73" s="216"/>
      <c r="D73" s="216"/>
      <c r="E73" s="227"/>
      <c r="F73" s="227"/>
      <c r="G73" s="227"/>
      <c r="H73" s="227"/>
      <c r="I73" s="216"/>
      <c r="J73" s="216"/>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row>
    <row r="74" spans="1:37" x14ac:dyDescent="0.3">
      <c r="A74" s="2"/>
      <c r="B74" s="2"/>
      <c r="C74" s="241"/>
      <c r="D74" s="216"/>
      <c r="E74" s="240"/>
      <c r="F74" s="240"/>
      <c r="G74" s="240"/>
      <c r="H74" s="240"/>
      <c r="I74" s="216"/>
      <c r="J74" s="216"/>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row>
    <row r="75" spans="1:37" x14ac:dyDescent="0.3">
      <c r="A75" s="2"/>
      <c r="B75" s="2"/>
      <c r="C75" s="216"/>
      <c r="D75" s="216"/>
      <c r="E75" s="227"/>
      <c r="F75" s="227"/>
      <c r="G75" s="227"/>
      <c r="H75" s="227"/>
      <c r="I75" s="216"/>
      <c r="J75" s="216"/>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row>
    <row r="76" spans="1:37" x14ac:dyDescent="0.3">
      <c r="A76" s="2"/>
      <c r="B76" s="2"/>
      <c r="C76" s="241"/>
      <c r="D76" s="241"/>
      <c r="E76" s="240"/>
      <c r="F76" s="240"/>
      <c r="G76" s="240"/>
      <c r="H76" s="240"/>
      <c r="I76" s="216"/>
      <c r="J76" s="216"/>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row>
    <row r="77" spans="1:37" x14ac:dyDescent="0.3">
      <c r="A77" s="2"/>
      <c r="B77" s="2"/>
      <c r="C77" s="241"/>
      <c r="D77" s="241"/>
      <c r="E77" s="240"/>
      <c r="F77" s="240"/>
      <c r="G77" s="240"/>
      <c r="H77" s="240"/>
      <c r="I77" s="216"/>
      <c r="J77" s="216"/>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row>
    <row r="78" spans="1:37" x14ac:dyDescent="0.3">
      <c r="A78" s="2"/>
      <c r="B78" s="2"/>
      <c r="C78" s="216"/>
      <c r="D78" s="216"/>
      <c r="E78" s="227"/>
      <c r="F78" s="227"/>
      <c r="G78" s="227"/>
      <c r="H78" s="227"/>
      <c r="I78" s="216"/>
      <c r="J78" s="216"/>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row>
    <row r="79" spans="1:37" x14ac:dyDescent="0.3">
      <c r="A79" s="2"/>
      <c r="B79" s="2"/>
      <c r="C79" s="216"/>
      <c r="D79" s="216"/>
      <c r="E79" s="227"/>
      <c r="F79" s="227"/>
      <c r="G79" s="227"/>
      <c r="H79" s="227"/>
      <c r="I79" s="216"/>
      <c r="J79" s="216"/>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row>
    <row r="80" spans="1:37" x14ac:dyDescent="0.3">
      <c r="A80" s="2"/>
      <c r="B80" s="2"/>
      <c r="C80" s="241"/>
      <c r="D80" s="216"/>
      <c r="E80" s="240"/>
      <c r="F80" s="240"/>
      <c r="G80" s="240"/>
      <c r="H80" s="240"/>
      <c r="I80" s="216"/>
      <c r="J80" s="216"/>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row>
    <row r="81" spans="1:37" x14ac:dyDescent="0.3">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row>
    <row r="82" spans="1:37" x14ac:dyDescent="0.3">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row>
    <row r="83" spans="1:37" x14ac:dyDescent="0.3">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row>
    <row r="84" spans="1:37" x14ac:dyDescent="0.3">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row>
    <row r="85" spans="1:37" x14ac:dyDescent="0.3">
      <c r="A85" s="2"/>
      <c r="B85" s="2"/>
      <c r="C85" s="216"/>
      <c r="D85" s="216"/>
      <c r="E85" s="227"/>
      <c r="F85" s="227"/>
      <c r="G85" s="227"/>
      <c r="H85" s="227"/>
      <c r="I85" s="216"/>
      <c r="J85" s="216"/>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row>
    <row r="86" spans="1:37" x14ac:dyDescent="0.3">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row>
    <row r="87" spans="1:37" x14ac:dyDescent="0.3">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row>
    <row r="88" spans="1:37" x14ac:dyDescent="0.3">
      <c r="A88" s="2"/>
    </row>
    <row r="89" spans="1:37" x14ac:dyDescent="0.3">
      <c r="O89" s="242"/>
      <c r="P89" s="242"/>
      <c r="Q89" s="242"/>
    </row>
    <row r="90" spans="1:37" x14ac:dyDescent="0.3">
      <c r="O90" s="242"/>
      <c r="P90" s="242"/>
      <c r="Q90" s="242"/>
    </row>
    <row r="97" spans="3:8" x14ac:dyDescent="0.3">
      <c r="C97" s="243"/>
      <c r="D97" s="243"/>
      <c r="E97" s="244"/>
      <c r="F97" s="244"/>
      <c r="G97" s="244"/>
      <c r="H97" s="244"/>
    </row>
    <row r="98" spans="3:8" x14ac:dyDescent="0.3">
      <c r="C98" s="243"/>
      <c r="D98" s="243"/>
      <c r="E98" s="244"/>
      <c r="F98" s="245"/>
      <c r="G98" s="244"/>
      <c r="H98" s="244"/>
    </row>
  </sheetData>
  <mergeCells count="5">
    <mergeCell ref="B40:B49"/>
    <mergeCell ref="L40:M48"/>
    <mergeCell ref="B9:B16"/>
    <mergeCell ref="B24:B31"/>
    <mergeCell ref="B53:B61"/>
  </mergeCells>
  <conditionalFormatting sqref="M18">
    <cfRule type="cellIs" dxfId="11" priority="10" operator="lessThan">
      <formula>1</formula>
    </cfRule>
    <cfRule type="cellIs" dxfId="10" priority="11" operator="greaterThan">
      <formula>1</formula>
    </cfRule>
    <cfRule type="cellIs" dxfId="9" priority="12" operator="equal">
      <formula>1</formula>
    </cfRule>
  </conditionalFormatting>
  <conditionalFormatting sqref="N18">
    <cfRule type="cellIs" dxfId="8" priority="7" operator="lessThan">
      <formula>1</formula>
    </cfRule>
    <cfRule type="cellIs" dxfId="7" priority="8" operator="greaterThan">
      <formula>1</formula>
    </cfRule>
    <cfRule type="cellIs" dxfId="6" priority="9" operator="equal">
      <formula>1</formula>
    </cfRule>
  </conditionalFormatting>
  <conditionalFormatting sqref="M33">
    <cfRule type="cellIs" dxfId="5" priority="4" operator="lessThan">
      <formula>1</formula>
    </cfRule>
    <cfRule type="cellIs" dxfId="4" priority="5" operator="greaterThan">
      <formula>1</formula>
    </cfRule>
    <cfRule type="cellIs" dxfId="3" priority="6" operator="equal">
      <formula>1</formula>
    </cfRule>
  </conditionalFormatting>
  <conditionalFormatting sqref="N33">
    <cfRule type="cellIs" dxfId="2" priority="1" operator="lessThan">
      <formula>1</formula>
    </cfRule>
    <cfRule type="cellIs" dxfId="1" priority="2" operator="greaterThan">
      <formula>1</formula>
    </cfRule>
    <cfRule type="cellIs" dxfId="0" priority="3" operator="equal">
      <formula>1</formula>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E3B36-8661-4864-8A01-205FB2BA8F4D}">
  <sheetPr>
    <tabColor theme="0"/>
  </sheetPr>
  <dimension ref="A1:F38"/>
  <sheetViews>
    <sheetView workbookViewId="0">
      <selection activeCell="L36" sqref="L36"/>
    </sheetView>
  </sheetViews>
  <sheetFormatPr defaultRowHeight="15" x14ac:dyDescent="0.25"/>
  <cols>
    <col min="1" max="1" width="22.85546875" customWidth="1"/>
    <col min="4" max="4" width="2.7109375" customWidth="1"/>
  </cols>
  <sheetData>
    <row r="1" spans="1:3" s="635" customFormat="1" ht="12.75" x14ac:dyDescent="0.25">
      <c r="A1" s="635" t="s">
        <v>348</v>
      </c>
    </row>
    <row r="2" spans="1:3" s="636" customFormat="1" ht="13.5" x14ac:dyDescent="0.25">
      <c r="A2" s="636" t="s">
        <v>349</v>
      </c>
    </row>
    <row r="3" spans="1:3" s="514" customFormat="1" ht="13.5" x14ac:dyDescent="0.25">
      <c r="A3" s="512" t="s">
        <v>350</v>
      </c>
      <c r="B3" s="513"/>
    </row>
    <row r="4" spans="1:3" s="515" customFormat="1" ht="13.5" x14ac:dyDescent="0.25">
      <c r="A4" s="515" t="s">
        <v>351</v>
      </c>
      <c r="B4" s="515" t="s">
        <v>352</v>
      </c>
    </row>
    <row r="5" spans="1:3" s="515" customFormat="1" ht="13.5" x14ac:dyDescent="0.25">
      <c r="A5" s="515" t="s">
        <v>353</v>
      </c>
      <c r="B5" s="515">
        <v>100</v>
      </c>
      <c r="C5" s="515" t="s">
        <v>45</v>
      </c>
    </row>
    <row r="6" spans="1:3" s="515" customFormat="1" ht="13.5" x14ac:dyDescent="0.25">
      <c r="A6" s="515" t="s">
        <v>354</v>
      </c>
      <c r="B6" s="516" t="s">
        <v>355</v>
      </c>
      <c r="C6" s="515" t="s">
        <v>356</v>
      </c>
    </row>
    <row r="7" spans="1:3" s="515" customFormat="1" ht="13.5" x14ac:dyDescent="0.25">
      <c r="A7" s="515" t="s">
        <v>357</v>
      </c>
      <c r="B7" s="515">
        <v>4</v>
      </c>
      <c r="C7" s="515" t="s">
        <v>356</v>
      </c>
    </row>
    <row r="8" spans="1:3" s="515" customFormat="1" ht="13.5" x14ac:dyDescent="0.25">
      <c r="A8" s="515" t="s">
        <v>358</v>
      </c>
      <c r="B8" s="515">
        <f>10*4*2</f>
        <v>80</v>
      </c>
      <c r="C8" s="515" t="s">
        <v>45</v>
      </c>
    </row>
    <row r="9" spans="1:3" s="515" customFormat="1" ht="13.5" x14ac:dyDescent="0.25">
      <c r="A9" s="515" t="s">
        <v>359</v>
      </c>
      <c r="B9" s="515">
        <v>150</v>
      </c>
      <c r="C9" s="515" t="s">
        <v>45</v>
      </c>
    </row>
    <row r="10" spans="1:3" s="515" customFormat="1" ht="13.5" x14ac:dyDescent="0.25"/>
    <row r="11" spans="1:3" s="515" customFormat="1" ht="13.5" x14ac:dyDescent="0.25"/>
    <row r="12" spans="1:3" s="515" customFormat="1" ht="13.5" x14ac:dyDescent="0.25"/>
    <row r="13" spans="1:3" s="515" customFormat="1" ht="13.5" x14ac:dyDescent="0.25"/>
    <row r="14" spans="1:3" s="515" customFormat="1" ht="13.5" x14ac:dyDescent="0.25"/>
    <row r="15" spans="1:3" s="515" customFormat="1" ht="13.5" x14ac:dyDescent="0.25"/>
    <row r="16" spans="1:3" s="515" customFormat="1" ht="13.5" x14ac:dyDescent="0.25"/>
    <row r="17" spans="1:6" s="517" customFormat="1" ht="12.75" x14ac:dyDescent="0.2">
      <c r="A17" s="517" t="s">
        <v>360</v>
      </c>
    </row>
    <row r="18" spans="1:6" s="515" customFormat="1" ht="13.5" x14ac:dyDescent="0.25">
      <c r="A18" s="515" t="s">
        <v>361</v>
      </c>
    </row>
    <row r="19" spans="1:6" s="518" customFormat="1" ht="13.5" x14ac:dyDescent="0.25">
      <c r="A19" s="518" t="s">
        <v>362</v>
      </c>
    </row>
    <row r="20" spans="1:6" s="519" customFormat="1" ht="13.5" x14ac:dyDescent="0.25">
      <c r="A20" s="518" t="s">
        <v>363</v>
      </c>
    </row>
    <row r="21" spans="1:6" s="519" customFormat="1" ht="13.5" x14ac:dyDescent="0.25">
      <c r="A21" s="518" t="s">
        <v>364</v>
      </c>
    </row>
    <row r="22" spans="1:6" s="519" customFormat="1" ht="13.5" x14ac:dyDescent="0.25">
      <c r="A22" s="518" t="s">
        <v>365</v>
      </c>
    </row>
    <row r="23" spans="1:6" s="519" customFormat="1" ht="13.5" x14ac:dyDescent="0.25">
      <c r="A23" s="515" t="s">
        <v>366</v>
      </c>
    </row>
    <row r="24" spans="1:6" s="517" customFormat="1" ht="12.75" x14ac:dyDescent="0.2">
      <c r="A24" s="517" t="s">
        <v>367</v>
      </c>
    </row>
    <row r="25" spans="1:6" x14ac:dyDescent="0.25">
      <c r="A25" s="518" t="s">
        <v>368</v>
      </c>
      <c r="B25" s="515">
        <f>80*0.3</f>
        <v>24</v>
      </c>
      <c r="C25" s="515" t="s">
        <v>45</v>
      </c>
      <c r="E25" s="515">
        <f t="shared" ref="E25:E30" si="0">B25*B33*1000</f>
        <v>600.00000000000011</v>
      </c>
      <c r="F25" s="515" t="s">
        <v>201</v>
      </c>
    </row>
    <row r="26" spans="1:6" x14ac:dyDescent="0.25">
      <c r="A26" s="518" t="s">
        <v>334</v>
      </c>
      <c r="B26" s="515">
        <f>(80-B25)*0.8</f>
        <v>44.800000000000004</v>
      </c>
      <c r="C26" s="515" t="s">
        <v>45</v>
      </c>
      <c r="E26" s="515">
        <f t="shared" si="0"/>
        <v>8064.0000000000018</v>
      </c>
      <c r="F26" s="515" t="s">
        <v>201</v>
      </c>
    </row>
    <row r="27" spans="1:6" x14ac:dyDescent="0.25">
      <c r="A27" s="518" t="s">
        <v>369</v>
      </c>
      <c r="B27" s="515">
        <v>150</v>
      </c>
      <c r="C27" s="515" t="s">
        <v>45</v>
      </c>
      <c r="E27" s="515">
        <f t="shared" si="0"/>
        <v>6300.0000000000009</v>
      </c>
      <c r="F27" s="515" t="s">
        <v>201</v>
      </c>
    </row>
    <row r="28" spans="1:6" x14ac:dyDescent="0.25">
      <c r="A28" s="518" t="s">
        <v>370</v>
      </c>
      <c r="B28" s="515">
        <v>75.56</v>
      </c>
      <c r="C28" s="515" t="s">
        <v>294</v>
      </c>
      <c r="E28" s="515">
        <f t="shared" si="0"/>
        <v>181344</v>
      </c>
      <c r="F28" s="515" t="s">
        <v>201</v>
      </c>
    </row>
    <row r="29" spans="1:6" x14ac:dyDescent="0.25">
      <c r="A29" s="518" t="s">
        <v>371</v>
      </c>
      <c r="B29" s="515">
        <v>100</v>
      </c>
      <c r="C29" s="515" t="s">
        <v>294</v>
      </c>
      <c r="E29" s="515">
        <f t="shared" si="0"/>
        <v>185000</v>
      </c>
      <c r="F29" s="515" t="s">
        <v>201</v>
      </c>
    </row>
    <row r="30" spans="1:6" x14ac:dyDescent="0.25">
      <c r="A30" s="518" t="s">
        <v>372</v>
      </c>
      <c r="B30" s="515">
        <f>20*0.1</f>
        <v>2</v>
      </c>
      <c r="C30" s="515" t="s">
        <v>294</v>
      </c>
      <c r="E30" s="515">
        <f t="shared" si="0"/>
        <v>4800</v>
      </c>
      <c r="F30" s="515" t="s">
        <v>201</v>
      </c>
    </row>
    <row r="31" spans="1:6" x14ac:dyDescent="0.25">
      <c r="A31" s="518" t="s">
        <v>316</v>
      </c>
      <c r="E31" s="515">
        <f>SUM(E25:E30)</f>
        <v>386108</v>
      </c>
      <c r="F31" s="515" t="s">
        <v>201</v>
      </c>
    </row>
    <row r="33" spans="1:3" x14ac:dyDescent="0.25">
      <c r="A33" s="518" t="s">
        <v>373</v>
      </c>
      <c r="B33" s="515">
        <f>2.5*0.01</f>
        <v>2.5000000000000001E-2</v>
      </c>
      <c r="C33" s="515" t="s">
        <v>374</v>
      </c>
    </row>
    <row r="34" spans="1:3" x14ac:dyDescent="0.25">
      <c r="A34" s="518" t="s">
        <v>375</v>
      </c>
      <c r="B34" s="515">
        <f>1.8*0.1</f>
        <v>0.18000000000000002</v>
      </c>
      <c r="C34" s="515" t="s">
        <v>374</v>
      </c>
    </row>
    <row r="35" spans="1:3" x14ac:dyDescent="0.25">
      <c r="A35" s="518" t="s">
        <v>376</v>
      </c>
      <c r="B35" s="515">
        <f>2.1*0.02</f>
        <v>4.2000000000000003E-2</v>
      </c>
      <c r="C35" s="515" t="s">
        <v>374</v>
      </c>
    </row>
    <row r="36" spans="1:3" x14ac:dyDescent="0.25">
      <c r="A36" s="518" t="s">
        <v>377</v>
      </c>
      <c r="B36" s="515">
        <v>2.4</v>
      </c>
      <c r="C36" s="515" t="s">
        <v>378</v>
      </c>
    </row>
    <row r="37" spans="1:3" x14ac:dyDescent="0.25">
      <c r="A37" s="518" t="s">
        <v>379</v>
      </c>
      <c r="B37" s="515">
        <v>1.85</v>
      </c>
      <c r="C37" s="515" t="s">
        <v>378</v>
      </c>
    </row>
    <row r="38" spans="1:3" x14ac:dyDescent="0.25">
      <c r="A38" s="518" t="s">
        <v>380</v>
      </c>
      <c r="B38" s="515">
        <v>2.4</v>
      </c>
      <c r="C38" s="515" t="s">
        <v>378</v>
      </c>
    </row>
  </sheetData>
  <mergeCells count="2">
    <mergeCell ref="A1:XFD1"/>
    <mergeCell ref="A2:XFD2"/>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1B72C1-F76A-4E13-B5CE-DF2C138289C4}">
  <sheetPr>
    <tabColor theme="0"/>
  </sheetPr>
  <dimension ref="A2:U51"/>
  <sheetViews>
    <sheetView showGridLines="0" topLeftCell="E4" zoomScale="73" zoomScaleNormal="73" workbookViewId="0">
      <selection activeCell="S25" sqref="S25"/>
    </sheetView>
  </sheetViews>
  <sheetFormatPr defaultColWidth="9.140625" defaultRowHeight="16.5" x14ac:dyDescent="0.25"/>
  <cols>
    <col min="1" max="1" width="9.140625" style="246"/>
    <col min="2" max="2" width="19" style="246" customWidth="1"/>
    <col min="3" max="3" width="23.85546875" style="246" customWidth="1"/>
    <col min="4" max="4" width="9.42578125" style="246" customWidth="1"/>
    <col min="5" max="5" width="8.28515625" style="246" customWidth="1"/>
    <col min="6" max="6" width="15" style="246" customWidth="1"/>
    <col min="7" max="7" width="25.42578125" style="246" customWidth="1"/>
    <col min="8" max="8" width="18.85546875" style="246" customWidth="1"/>
    <col min="9" max="9" width="21.7109375" style="246" customWidth="1"/>
    <col min="10" max="10" width="11.5703125" style="246" customWidth="1"/>
    <col min="11" max="11" width="18.85546875" style="246" customWidth="1"/>
    <col min="12" max="12" width="12.42578125" style="246" customWidth="1"/>
    <col min="13" max="15" width="18.85546875" style="246" customWidth="1"/>
    <col min="16" max="16" width="23.42578125" style="246" customWidth="1"/>
    <col min="17" max="17" width="4.7109375" style="246" customWidth="1"/>
    <col min="18" max="18" width="6.140625" style="246" customWidth="1"/>
    <col min="19" max="19" width="123.7109375" style="246" customWidth="1"/>
    <col min="20" max="20" width="16" style="246" customWidth="1"/>
    <col min="21" max="21" width="15.85546875" style="246" bestFit="1" customWidth="1"/>
    <col min="22" max="16384" width="9.140625" style="246"/>
  </cols>
  <sheetData>
    <row r="2" spans="1:21" ht="29.25" x14ac:dyDescent="0.25">
      <c r="G2" s="647" t="s">
        <v>1</v>
      </c>
      <c r="H2" s="647"/>
      <c r="I2" s="553"/>
      <c r="J2" s="553"/>
      <c r="K2" s="553"/>
      <c r="L2" s="553"/>
      <c r="M2" s="553"/>
      <c r="N2" s="553" t="s">
        <v>32</v>
      </c>
      <c r="O2" s="553"/>
    </row>
    <row r="3" spans="1:21" ht="36" customHeight="1" x14ac:dyDescent="0.25">
      <c r="B3" s="646" t="s">
        <v>381</v>
      </c>
      <c r="C3" s="646"/>
      <c r="D3" s="646"/>
      <c r="E3" s="646"/>
      <c r="G3" s="645" t="s">
        <v>382</v>
      </c>
      <c r="H3" s="645"/>
      <c r="I3" s="554"/>
      <c r="J3" s="554"/>
      <c r="K3" s="554" t="s">
        <v>383</v>
      </c>
      <c r="L3" s="554"/>
      <c r="M3" s="554"/>
      <c r="N3" s="554" t="s">
        <v>384</v>
      </c>
      <c r="O3" s="554"/>
    </row>
    <row r="4" spans="1:21" ht="33.75" customHeight="1" x14ac:dyDescent="0.25">
      <c r="A4" s="637" t="s">
        <v>178</v>
      </c>
      <c r="B4" s="640" t="s">
        <v>8</v>
      </c>
      <c r="C4" s="410" t="s">
        <v>268</v>
      </c>
      <c r="D4" s="643" t="s">
        <v>4</v>
      </c>
      <c r="E4" s="644"/>
      <c r="F4" s="10"/>
      <c r="G4" s="411" t="s">
        <v>385</v>
      </c>
      <c r="H4" s="412" t="s">
        <v>386</v>
      </c>
      <c r="I4" s="414" t="s">
        <v>387</v>
      </c>
      <c r="J4" s="11"/>
      <c r="K4" s="11"/>
      <c r="L4" s="11"/>
      <c r="M4" s="411" t="s">
        <v>385</v>
      </c>
      <c r="N4" s="413" t="s">
        <v>386</v>
      </c>
      <c r="O4" s="412"/>
      <c r="P4" s="418" t="s">
        <v>387</v>
      </c>
      <c r="Q4" s="413"/>
      <c r="R4" s="412"/>
      <c r="S4" s="419" t="s">
        <v>388</v>
      </c>
      <c r="T4" s="11"/>
    </row>
    <row r="5" spans="1:21" ht="69.95" customHeight="1" x14ac:dyDescent="0.25">
      <c r="A5" s="638"/>
      <c r="B5" s="641"/>
      <c r="C5" s="246" t="s">
        <v>389</v>
      </c>
      <c r="D5" s="10">
        <f>Materialeoutput!$F$13</f>
        <v>0</v>
      </c>
      <c r="E5" s="179" t="s">
        <v>45</v>
      </c>
      <c r="F5" s="10"/>
      <c r="G5" s="247">
        <f>Argumenter!B372</f>
        <v>45</v>
      </c>
      <c r="H5" s="248">
        <f>G5/Argumenter!C15</f>
        <v>3.2142857142857144</v>
      </c>
      <c r="I5" s="415"/>
      <c r="J5" s="249"/>
      <c r="K5" s="249"/>
      <c r="L5" s="249"/>
      <c r="M5" s="250">
        <f>Argumenter!B377</f>
        <v>210</v>
      </c>
      <c r="N5" s="249">
        <f>M5/Argumenter!C15</f>
        <v>15</v>
      </c>
      <c r="O5" s="248"/>
      <c r="P5" s="420"/>
      <c r="R5" s="429"/>
      <c r="S5" s="498"/>
      <c r="T5" s="251"/>
      <c r="U5" s="499"/>
    </row>
    <row r="6" spans="1:21" ht="93" customHeight="1" x14ac:dyDescent="0.25">
      <c r="A6" s="638"/>
      <c r="B6" s="641"/>
      <c r="C6" s="246" t="s">
        <v>167</v>
      </c>
      <c r="D6" s="10">
        <f>Materialeoutput!$F$13</f>
        <v>0</v>
      </c>
      <c r="E6" s="179" t="s">
        <v>45</v>
      </c>
      <c r="F6" s="10"/>
      <c r="G6" s="247">
        <f>Argumenter!B373</f>
        <v>80</v>
      </c>
      <c r="H6" s="248">
        <f>G6/Argumenter!C15</f>
        <v>5.7142857142857144</v>
      </c>
      <c r="I6" s="415">
        <f>$G$5-G6</f>
        <v>-35</v>
      </c>
      <c r="J6" s="249"/>
      <c r="K6" s="249"/>
      <c r="L6" s="249"/>
      <c r="M6" s="250">
        <f>Argumenter!B378</f>
        <v>182</v>
      </c>
      <c r="N6" s="249">
        <f>M6/Argumenter!C15</f>
        <v>13</v>
      </c>
      <c r="O6" s="248"/>
      <c r="P6" s="421">
        <f>$M$5-M6</f>
        <v>28</v>
      </c>
      <c r="Q6" s="251"/>
      <c r="R6" s="429"/>
      <c r="S6" s="500" t="s">
        <v>390</v>
      </c>
      <c r="T6" s="251"/>
      <c r="U6" s="499"/>
    </row>
    <row r="7" spans="1:21" ht="69.95" customHeight="1" x14ac:dyDescent="0.25">
      <c r="A7" s="638"/>
      <c r="B7" s="641"/>
      <c r="C7" s="246" t="s">
        <v>173</v>
      </c>
      <c r="D7" s="10">
        <f>Materialeoutput!$F$13</f>
        <v>0</v>
      </c>
      <c r="E7" s="179" t="s">
        <v>45</v>
      </c>
      <c r="F7" s="10"/>
      <c r="G7" s="247">
        <f>Argumenter!B373</f>
        <v>80</v>
      </c>
      <c r="H7" s="248">
        <f>G7/Argumenter!C15</f>
        <v>5.7142857142857144</v>
      </c>
      <c r="I7" s="415">
        <f>$G$5-G7</f>
        <v>-35</v>
      </c>
      <c r="J7" s="249"/>
      <c r="K7" s="249"/>
      <c r="L7" s="249"/>
      <c r="M7" s="250">
        <f>Argumenter!B379</f>
        <v>236.6</v>
      </c>
      <c r="N7" s="249">
        <f>M7/Argumenter!C15</f>
        <v>16.899999999999999</v>
      </c>
      <c r="O7" s="248"/>
      <c r="P7" s="421">
        <f>$M$5-M7</f>
        <v>-26.599999999999994</v>
      </c>
      <c r="Q7" s="251"/>
      <c r="R7" s="429"/>
      <c r="S7" s="500" t="s">
        <v>390</v>
      </c>
      <c r="T7" s="251"/>
      <c r="U7" s="499"/>
    </row>
    <row r="8" spans="1:21" ht="69.95" customHeight="1" x14ac:dyDescent="0.25">
      <c r="A8" s="638"/>
      <c r="B8" s="642"/>
      <c r="C8" s="252" t="s">
        <v>174</v>
      </c>
      <c r="D8" s="190">
        <f>Materialeoutput!G9</f>
        <v>0</v>
      </c>
      <c r="E8" s="191" t="s">
        <v>294</v>
      </c>
      <c r="F8" s="10"/>
      <c r="G8" s="253">
        <f>Argumenter!B374</f>
        <v>49.500000000000007</v>
      </c>
      <c r="H8" s="254">
        <f>G8/Argumenter!C15</f>
        <v>3.535714285714286</v>
      </c>
      <c r="I8" s="416">
        <f>$G$5-G8</f>
        <v>-4.5000000000000071</v>
      </c>
      <c r="J8" s="249"/>
      <c r="K8" s="249"/>
      <c r="L8" s="249"/>
      <c r="M8" s="255">
        <f>Argumenter!B380</f>
        <v>188.5</v>
      </c>
      <c r="N8" s="256">
        <f>M8/Argumenter!C15</f>
        <v>13.464285714285714</v>
      </c>
      <c r="O8" s="254"/>
      <c r="P8" s="423">
        <f>$M$5-M8</f>
        <v>21.5</v>
      </c>
      <c r="Q8" s="424"/>
      <c r="R8" s="430"/>
      <c r="S8" s="501" t="s">
        <v>391</v>
      </c>
      <c r="T8" s="251"/>
      <c r="U8" s="499"/>
    </row>
    <row r="9" spans="1:21" x14ac:dyDescent="0.25">
      <c r="A9" s="638"/>
      <c r="S9" s="502"/>
    </row>
    <row r="10" spans="1:21" x14ac:dyDescent="0.25">
      <c r="A10" s="638"/>
      <c r="S10" s="502"/>
    </row>
    <row r="11" spans="1:21" ht="24" x14ac:dyDescent="0.25">
      <c r="A11" s="638"/>
      <c r="G11" s="645" t="s">
        <v>382</v>
      </c>
      <c r="H11" s="645"/>
      <c r="I11" s="554"/>
      <c r="J11" s="554"/>
      <c r="K11" s="554"/>
      <c r="L11" s="554"/>
      <c r="M11" s="554"/>
      <c r="N11" s="554" t="s">
        <v>384</v>
      </c>
      <c r="O11" s="554"/>
      <c r="S11" s="502"/>
    </row>
    <row r="12" spans="1:21" ht="35.25" customHeight="1" x14ac:dyDescent="0.25">
      <c r="A12" s="638"/>
      <c r="B12" s="640" t="s">
        <v>21</v>
      </c>
      <c r="C12" s="410" t="s">
        <v>268</v>
      </c>
      <c r="D12" s="643" t="s">
        <v>4</v>
      </c>
      <c r="E12" s="644"/>
      <c r="F12" s="10"/>
      <c r="G12" s="411" t="s">
        <v>385</v>
      </c>
      <c r="H12" s="412" t="s">
        <v>386</v>
      </c>
      <c r="I12" s="414" t="s">
        <v>387</v>
      </c>
      <c r="J12" s="11"/>
      <c r="K12" s="11"/>
      <c r="L12" s="11"/>
      <c r="M12" s="411" t="s">
        <v>385</v>
      </c>
      <c r="N12" s="413" t="s">
        <v>386</v>
      </c>
      <c r="O12" s="412"/>
      <c r="P12" s="411" t="s">
        <v>387</v>
      </c>
      <c r="Q12" s="413"/>
      <c r="R12" s="412"/>
      <c r="S12" s="503" t="s">
        <v>388</v>
      </c>
    </row>
    <row r="13" spans="1:21" ht="35.1" customHeight="1" x14ac:dyDescent="0.25">
      <c r="A13" s="638"/>
      <c r="B13" s="641"/>
      <c r="C13" s="246" t="s">
        <v>389</v>
      </c>
      <c r="D13" s="10">
        <f>Materialeoutput!$F$11</f>
        <v>0</v>
      </c>
      <c r="E13" s="179" t="s">
        <v>45</v>
      </c>
      <c r="F13" s="10"/>
      <c r="G13" s="247">
        <f>Argumenter!B386</f>
        <v>400</v>
      </c>
      <c r="H13" s="248" t="s">
        <v>392</v>
      </c>
      <c r="I13" s="415"/>
      <c r="J13" s="249"/>
      <c r="K13" s="249"/>
      <c r="L13" s="249"/>
      <c r="M13" s="250">
        <f>Argumenter!B390</f>
        <v>3545.2127659574471</v>
      </c>
      <c r="N13" s="249"/>
      <c r="O13" s="248"/>
      <c r="P13" s="420"/>
      <c r="Q13" s="251"/>
      <c r="R13" s="429"/>
      <c r="S13" s="504"/>
    </row>
    <row r="14" spans="1:21" ht="35.1" customHeight="1" x14ac:dyDescent="0.25">
      <c r="A14" s="638"/>
      <c r="B14" s="641"/>
      <c r="C14" s="246" t="s">
        <v>167</v>
      </c>
      <c r="D14" s="10">
        <f>Materialeoutput!$F$11</f>
        <v>0</v>
      </c>
      <c r="E14" s="179" t="s">
        <v>45</v>
      </c>
      <c r="F14" s="10"/>
      <c r="G14" s="247">
        <f>Argumenter!B387</f>
        <v>460</v>
      </c>
      <c r="H14" s="248" t="s">
        <v>392</v>
      </c>
      <c r="I14" s="415">
        <f>$G$13-G14</f>
        <v>-60</v>
      </c>
      <c r="J14" s="249"/>
      <c r="K14" s="249"/>
      <c r="L14" s="249"/>
      <c r="M14" s="250">
        <f>Argumenter!B391</f>
        <v>1879.5744680851064</v>
      </c>
      <c r="N14" s="249"/>
      <c r="O14" s="248"/>
      <c r="P14" s="421">
        <f>$M$13-M14</f>
        <v>1665.6382978723407</v>
      </c>
      <c r="Q14" s="251"/>
      <c r="R14" s="429"/>
      <c r="S14" s="504" t="s">
        <v>393</v>
      </c>
    </row>
    <row r="15" spans="1:21" ht="35.1" customHeight="1" x14ac:dyDescent="0.25">
      <c r="A15" s="638"/>
      <c r="B15" s="641"/>
      <c r="C15" s="246" t="s">
        <v>173</v>
      </c>
      <c r="D15" s="10">
        <f>Materialeoutput!$F$11</f>
        <v>0</v>
      </c>
      <c r="E15" s="179" t="s">
        <v>45</v>
      </c>
      <c r="F15" s="10"/>
      <c r="G15" s="247">
        <f>Argumenter!B387</f>
        <v>460</v>
      </c>
      <c r="H15" s="248" t="s">
        <v>392</v>
      </c>
      <c r="I15" s="415">
        <f>$G$13-G15</f>
        <v>-60</v>
      </c>
      <c r="J15" s="249"/>
      <c r="K15" s="249"/>
      <c r="L15" s="249"/>
      <c r="M15" s="250">
        <f>Argumenter!B392</f>
        <v>2235.7999999999997</v>
      </c>
      <c r="N15" s="249"/>
      <c r="O15" s="248"/>
      <c r="P15" s="421">
        <f>$M$13-M15</f>
        <v>1309.4127659574474</v>
      </c>
      <c r="Q15" s="251"/>
      <c r="R15" s="429"/>
      <c r="S15" s="504" t="s">
        <v>393</v>
      </c>
    </row>
    <row r="16" spans="1:21" ht="79.5" customHeight="1" x14ac:dyDescent="0.25">
      <c r="A16" s="638"/>
      <c r="B16" s="642"/>
      <c r="C16" s="252" t="s">
        <v>174</v>
      </c>
      <c r="D16" s="190">
        <f>Materialeoutput!G11</f>
        <v>0</v>
      </c>
      <c r="E16" s="191" t="s">
        <v>294</v>
      </c>
      <c r="F16" s="10"/>
      <c r="G16" s="253">
        <f>Argumenter!B388</f>
        <v>440.00000000000006</v>
      </c>
      <c r="H16" s="254" t="s">
        <v>392</v>
      </c>
      <c r="I16" s="416">
        <f>$G$13-G16</f>
        <v>-40.000000000000057</v>
      </c>
      <c r="J16" s="249"/>
      <c r="K16" s="249"/>
      <c r="L16" s="249"/>
      <c r="M16" s="255">
        <f>Argumenter!B393</f>
        <v>203</v>
      </c>
      <c r="N16" s="256"/>
      <c r="O16" s="254"/>
      <c r="P16" s="423">
        <f>$M$13-M16</f>
        <v>3342.2127659574471</v>
      </c>
      <c r="Q16" s="424"/>
      <c r="R16" s="430"/>
      <c r="S16" s="501" t="s">
        <v>394</v>
      </c>
    </row>
    <row r="17" spans="1:19" x14ac:dyDescent="0.25">
      <c r="A17" s="638"/>
      <c r="S17" s="502"/>
    </row>
    <row r="18" spans="1:19" x14ac:dyDescent="0.25">
      <c r="A18" s="638"/>
      <c r="S18" s="502"/>
    </row>
    <row r="19" spans="1:19" x14ac:dyDescent="0.25">
      <c r="A19" s="638"/>
      <c r="S19" s="502"/>
    </row>
    <row r="20" spans="1:19" ht="24" x14ac:dyDescent="0.25">
      <c r="A20" s="638"/>
      <c r="G20" s="645" t="s">
        <v>382</v>
      </c>
      <c r="H20" s="645"/>
      <c r="I20" s="554"/>
      <c r="J20" s="554"/>
      <c r="K20" s="554"/>
      <c r="L20" s="554"/>
      <c r="M20" s="554"/>
      <c r="N20" s="554" t="s">
        <v>384</v>
      </c>
      <c r="O20" s="554"/>
      <c r="S20" s="502"/>
    </row>
    <row r="21" spans="1:19" ht="36.75" customHeight="1" x14ac:dyDescent="0.25">
      <c r="A21" s="638"/>
      <c r="B21" s="640" t="s">
        <v>25</v>
      </c>
      <c r="C21" s="410" t="s">
        <v>268</v>
      </c>
      <c r="D21" s="643" t="s">
        <v>4</v>
      </c>
      <c r="E21" s="644"/>
      <c r="F21" s="10"/>
      <c r="G21" s="411" t="s">
        <v>385</v>
      </c>
      <c r="H21" s="412" t="s">
        <v>386</v>
      </c>
      <c r="I21" s="414" t="s">
        <v>387</v>
      </c>
      <c r="J21" s="11"/>
      <c r="K21" s="11"/>
      <c r="L21" s="11"/>
      <c r="M21" s="411" t="s">
        <v>385</v>
      </c>
      <c r="N21" s="413" t="s">
        <v>386</v>
      </c>
      <c r="O21" s="412"/>
      <c r="P21" s="411" t="s">
        <v>387</v>
      </c>
      <c r="Q21" s="413"/>
      <c r="R21" s="412"/>
      <c r="S21" s="503" t="s">
        <v>388</v>
      </c>
    </row>
    <row r="22" spans="1:19" ht="45" customHeight="1" x14ac:dyDescent="0.25">
      <c r="A22" s="638"/>
      <c r="B22" s="641"/>
      <c r="C22" s="246" t="s">
        <v>389</v>
      </c>
      <c r="D22" s="10">
        <f>Materialeoutput!$F$13</f>
        <v>0</v>
      </c>
      <c r="E22" s="179" t="s">
        <v>45</v>
      </c>
      <c r="F22" s="10"/>
      <c r="G22" s="247">
        <f>Argumenter!B400*Argumenter!C23</f>
        <v>382.8</v>
      </c>
      <c r="H22" s="257">
        <f>Argumenter!B400</f>
        <v>5.8</v>
      </c>
      <c r="I22" s="417"/>
      <c r="J22" s="258"/>
      <c r="K22" s="258"/>
      <c r="L22" s="258"/>
      <c r="M22" s="247">
        <f>N22*Argumenter!C23</f>
        <v>495</v>
      </c>
      <c r="N22" s="258">
        <f>Argumenter!B405</f>
        <v>7.5</v>
      </c>
      <c r="O22" s="257"/>
      <c r="P22" s="420"/>
      <c r="Q22" s="251"/>
      <c r="R22" s="429"/>
      <c r="S22" s="504"/>
    </row>
    <row r="23" spans="1:19" ht="45" customHeight="1" x14ac:dyDescent="0.25">
      <c r="A23" s="638"/>
      <c r="B23" s="641"/>
      <c r="C23" s="246" t="s">
        <v>167</v>
      </c>
      <c r="D23" s="10">
        <f>Materialeoutput!$F$13</f>
        <v>0</v>
      </c>
      <c r="E23" s="179" t="s">
        <v>45</v>
      </c>
      <c r="F23" s="10"/>
      <c r="G23" s="247">
        <f>Argumenter!B401*Argumenter!C23</f>
        <v>574.19999999999993</v>
      </c>
      <c r="H23" s="248">
        <f>Argumenter!$B$401</f>
        <v>8.6999999999999993</v>
      </c>
      <c r="I23" s="415">
        <f>$G$22-G23</f>
        <v>-191.39999999999992</v>
      </c>
      <c r="J23" s="249"/>
      <c r="K23" s="249"/>
      <c r="L23" s="249"/>
      <c r="M23" s="247">
        <f>N23*Argumenter!C23</f>
        <v>660</v>
      </c>
      <c r="N23" s="258">
        <f>Argumenter!B406</f>
        <v>10</v>
      </c>
      <c r="O23" s="248"/>
      <c r="P23" s="420">
        <f>$M$22-M23</f>
        <v>-165</v>
      </c>
      <c r="Q23" s="251"/>
      <c r="R23" s="429"/>
      <c r="S23" s="505" t="s">
        <v>395</v>
      </c>
    </row>
    <row r="24" spans="1:19" ht="45" customHeight="1" x14ac:dyDescent="0.25">
      <c r="A24" s="638"/>
      <c r="B24" s="641"/>
      <c r="C24" s="246" t="s">
        <v>173</v>
      </c>
      <c r="D24" s="10">
        <f>Materialeoutput!$F$13</f>
        <v>0</v>
      </c>
      <c r="E24" s="179" t="s">
        <v>45</v>
      </c>
      <c r="F24" s="10"/>
      <c r="G24" s="247">
        <f>Argumenter!B402*Argumenter!C23</f>
        <v>784.62</v>
      </c>
      <c r="H24" s="248">
        <f>G24/Argumenter!C23</f>
        <v>11.888181818181819</v>
      </c>
      <c r="I24" s="415">
        <f>$G$22-G24</f>
        <v>-401.82</v>
      </c>
      <c r="J24" s="249"/>
      <c r="K24" s="249"/>
      <c r="L24" s="249"/>
      <c r="M24" s="247">
        <f>N24*Argumenter!C23</f>
        <v>784.74</v>
      </c>
      <c r="N24" s="258">
        <f>Argumenter!B407</f>
        <v>11.89</v>
      </c>
      <c r="O24" s="248"/>
      <c r="P24" s="420">
        <f>$M$22-M24</f>
        <v>-289.74</v>
      </c>
      <c r="R24" s="429"/>
      <c r="S24" s="505" t="s">
        <v>396</v>
      </c>
    </row>
    <row r="25" spans="1:19" ht="45" customHeight="1" x14ac:dyDescent="0.25">
      <c r="A25" s="638"/>
      <c r="B25" s="642"/>
      <c r="C25" s="252" t="s">
        <v>174</v>
      </c>
      <c r="D25" s="190">
        <f>Materialeoutput!G13</f>
        <v>0</v>
      </c>
      <c r="E25" s="191" t="s">
        <v>294</v>
      </c>
      <c r="F25" s="10"/>
      <c r="G25" s="253">
        <f>Argumenter!B403*Argumenter!C23</f>
        <v>421.08</v>
      </c>
      <c r="H25" s="254">
        <f>Argumenter!$B$403</f>
        <v>6.38</v>
      </c>
      <c r="I25" s="416">
        <f>$G$22-G25</f>
        <v>-38.279999999999973</v>
      </c>
      <c r="J25" s="249"/>
      <c r="K25" s="249"/>
      <c r="L25" s="249"/>
      <c r="M25" s="253">
        <f>N25*Argumenter!C23</f>
        <v>686.4</v>
      </c>
      <c r="N25" s="259">
        <f>Argumenter!B408</f>
        <v>10.4</v>
      </c>
      <c r="O25" s="254"/>
      <c r="P25" s="426">
        <f>$M$22-M25</f>
        <v>-191.39999999999998</v>
      </c>
      <c r="Q25" s="252"/>
      <c r="R25" s="430"/>
      <c r="S25" s="501" t="s">
        <v>397</v>
      </c>
    </row>
    <row r="28" spans="1:19" ht="6.6" customHeight="1" x14ac:dyDescent="0.25"/>
    <row r="29" spans="1:19" ht="24" hidden="1" x14ac:dyDescent="0.25">
      <c r="B29" s="646" t="s">
        <v>381</v>
      </c>
      <c r="C29" s="646"/>
      <c r="D29" s="646"/>
      <c r="E29" s="646"/>
      <c r="G29" s="645" t="s">
        <v>398</v>
      </c>
      <c r="H29" s="645"/>
      <c r="I29" s="554"/>
      <c r="J29" s="554"/>
      <c r="K29" s="554"/>
      <c r="L29" s="554"/>
      <c r="M29" s="554"/>
      <c r="N29" s="554" t="s">
        <v>384</v>
      </c>
      <c r="O29" s="554"/>
    </row>
    <row r="30" spans="1:19" ht="35.1" hidden="1" customHeight="1" x14ac:dyDescent="0.25">
      <c r="A30" s="639" t="s">
        <v>113</v>
      </c>
      <c r="B30" s="640" t="s">
        <v>114</v>
      </c>
      <c r="C30" s="410" t="s">
        <v>268</v>
      </c>
      <c r="D30" s="643" t="s">
        <v>4</v>
      </c>
      <c r="E30" s="644"/>
      <c r="F30" s="10"/>
      <c r="G30" s="411" t="s">
        <v>399</v>
      </c>
      <c r="H30" s="412" t="s">
        <v>386</v>
      </c>
      <c r="I30" s="414" t="s">
        <v>400</v>
      </c>
      <c r="J30" s="11"/>
      <c r="K30" s="11"/>
      <c r="L30" s="11"/>
      <c r="M30" s="411"/>
      <c r="N30" s="413"/>
      <c r="O30" s="412"/>
      <c r="P30" s="411" t="s">
        <v>387</v>
      </c>
      <c r="Q30" s="413"/>
      <c r="R30" s="412"/>
      <c r="S30" s="427" t="s">
        <v>388</v>
      </c>
    </row>
    <row r="31" spans="1:19" ht="4.5" hidden="1" customHeight="1" x14ac:dyDescent="0.25">
      <c r="A31" s="639"/>
      <c r="B31" s="641"/>
      <c r="C31" s="246" t="s">
        <v>389</v>
      </c>
      <c r="D31" s="10" t="e">
        <f>Materialeoutput!H24</f>
        <v>#REF!</v>
      </c>
      <c r="E31" s="179" t="s">
        <v>312</v>
      </c>
      <c r="F31" s="10"/>
      <c r="G31" s="247" t="e" cm="1">
        <f t="array" ref="G31">(_xlfn.IFS(AND(#REF!=Argumenter!A71,#REF!=Argumenter!B94),Argumenter!B420,AND(#REF!=Argumenter!A72,#REF!=Argumenter!B94),Argumenter!B420,AND(#REF!=Argumenter!A73,#REF!=Argumenter!B94),Argumenter!B420,AND(#REF!=Argumenter!A71,#REF!=Argumenter!B70),Argumenter!B420,AND(#REF!=Argumenter!A72,#REF!=Argumenter!B70),Argumenter!B420,AND(#REF!=Argumenter!A73,#REF!=Argumenter!B70),Argumenter!B420,AND(#REF!=Argumenter!A71,#REF!=Argumenter!B81),Argumenter!B419,AND(#REF!=Argumenter!A72,#REF!=Argumenter!B81),Argumenter!B419,AND(#REF!=Argumenter!A73,#REF!=Argumenter!B81),Argumenter!B419))</f>
        <v>#REF!</v>
      </c>
      <c r="H31" s="248"/>
      <c r="I31" s="417"/>
      <c r="J31" s="258"/>
      <c r="K31" s="258"/>
      <c r="L31" s="258"/>
      <c r="M31" s="247"/>
      <c r="N31" s="258"/>
      <c r="O31" s="257"/>
      <c r="P31" s="420"/>
      <c r="R31" s="429"/>
      <c r="S31" s="429"/>
    </row>
    <row r="32" spans="1:19" ht="35.1" hidden="1" customHeight="1" x14ac:dyDescent="0.25">
      <c r="A32" s="639"/>
      <c r="B32" s="641"/>
      <c r="C32" s="246" t="s">
        <v>167</v>
      </c>
      <c r="D32" s="10" t="e">
        <f>Materialeoutput!H24</f>
        <v>#REF!</v>
      </c>
      <c r="E32" s="179" t="s">
        <v>312</v>
      </c>
      <c r="F32" s="10"/>
      <c r="G32" s="247">
        <v>0</v>
      </c>
      <c r="H32" s="248"/>
      <c r="I32" s="415" t="e">
        <f>$G$31-G32</f>
        <v>#REF!</v>
      </c>
      <c r="J32" s="249"/>
      <c r="K32" s="249"/>
      <c r="L32" s="249"/>
      <c r="M32" s="250"/>
      <c r="N32" s="249"/>
      <c r="O32" s="248"/>
      <c r="P32" s="420"/>
      <c r="Q32" s="251"/>
      <c r="R32" s="429"/>
      <c r="S32" s="422" t="s">
        <v>401</v>
      </c>
    </row>
    <row r="33" spans="1:19" ht="49.5" hidden="1" x14ac:dyDescent="0.25">
      <c r="A33" s="639"/>
      <c r="B33" s="641"/>
      <c r="C33" s="181" t="str">
        <f>Cirkuleringsgreb!B16</f>
        <v>Genbrug eller genanvendelse udenfor matriklen</v>
      </c>
      <c r="D33" s="10" t="e">
        <f>Materialeoutput!H24</f>
        <v>#REF!</v>
      </c>
      <c r="E33" s="179" t="s">
        <v>312</v>
      </c>
      <c r="F33" s="10"/>
      <c r="G33" s="247" t="e" cm="1">
        <f t="array" ref="G33">(_xlfn.IFS(AND(#REF!=Argumenter!A71,#REF!=Argumenter!B94),Argumenter!B420,AND(#REF!=Argumenter!A72,#REF!=Argumenter!B94),Argumenter!B420,AND(#REF!=Argumenter!A73,#REF!=Argumenter!B94),Argumenter!B420,AND(#REF!=Argumenter!A71,#REF!=Argumenter!B70),Argumenter!B420,AND(#REF!=Argumenter!A72,#REF!=Argumenter!B70),Argumenter!B420,AND(#REF!=Argumenter!A73,#REF!=Argumenter!B70),Argumenter!B420,AND(#REF!=Argumenter!A71,#REF!=Argumenter!B81),Argumenter!B419,AND(#REF!=Argumenter!A72,#REF!=Argumenter!B81),Argumenter!B419,AND(#REF!=Argumenter!A73,#REF!=Argumenter!B81),Argumenter!B419))</f>
        <v>#REF!</v>
      </c>
      <c r="H33" s="248"/>
      <c r="I33" s="415" t="e">
        <f>$G$31-G33</f>
        <v>#REF!</v>
      </c>
      <c r="J33" s="249"/>
      <c r="K33" s="249"/>
      <c r="L33" s="249"/>
      <c r="M33" s="250"/>
      <c r="N33" s="249"/>
      <c r="O33" s="248"/>
      <c r="P33" s="420"/>
      <c r="Q33" s="251"/>
      <c r="R33" s="429"/>
      <c r="S33" s="422" t="s">
        <v>402</v>
      </c>
    </row>
    <row r="34" spans="1:19" ht="33" hidden="1" x14ac:dyDescent="0.25">
      <c r="A34" s="639"/>
      <c r="B34" s="642"/>
      <c r="C34" s="252" t="str">
        <f>Cirkuleringsgreb!B17</f>
        <v>Deponi</v>
      </c>
      <c r="D34" s="190">
        <f>Materialeoutput!G38</f>
        <v>0</v>
      </c>
      <c r="E34" s="191" t="s">
        <v>312</v>
      </c>
      <c r="F34" s="10"/>
      <c r="G34" s="253">
        <f>Argumenter!B421</f>
        <v>930</v>
      </c>
      <c r="H34" s="254"/>
      <c r="I34" s="416" t="e">
        <f>$G$31-G34</f>
        <v>#REF!</v>
      </c>
      <c r="J34" s="249"/>
      <c r="K34" s="249"/>
      <c r="L34" s="249"/>
      <c r="M34" s="255"/>
      <c r="N34" s="256"/>
      <c r="O34" s="254"/>
      <c r="P34" s="426"/>
      <c r="Q34" s="424"/>
      <c r="R34" s="430"/>
      <c r="S34" s="506" t="s">
        <v>403</v>
      </c>
    </row>
    <row r="35" spans="1:19" hidden="1" x14ac:dyDescent="0.25">
      <c r="A35" s="639"/>
    </row>
    <row r="36" spans="1:19" hidden="1" x14ac:dyDescent="0.25">
      <c r="A36" s="639"/>
    </row>
    <row r="37" spans="1:19" ht="24" hidden="1" x14ac:dyDescent="0.25">
      <c r="A37" s="639"/>
      <c r="G37" s="645" t="s">
        <v>404</v>
      </c>
      <c r="H37" s="645"/>
      <c r="I37" s="554"/>
      <c r="J37" s="554"/>
      <c r="K37" s="554"/>
      <c r="L37" s="554"/>
      <c r="M37" s="554"/>
      <c r="N37" s="554" t="s">
        <v>384</v>
      </c>
      <c r="O37" s="554"/>
    </row>
    <row r="38" spans="1:19" ht="31.5" hidden="1" customHeight="1" x14ac:dyDescent="0.25">
      <c r="A38" s="639"/>
      <c r="B38" s="640" t="s">
        <v>131</v>
      </c>
      <c r="C38" s="410" t="s">
        <v>268</v>
      </c>
      <c r="D38" s="643" t="s">
        <v>4</v>
      </c>
      <c r="E38" s="644"/>
      <c r="F38" s="10"/>
      <c r="G38" s="411" t="s">
        <v>385</v>
      </c>
      <c r="H38" s="412" t="s">
        <v>386</v>
      </c>
      <c r="I38" s="414" t="s">
        <v>387</v>
      </c>
      <c r="J38" s="11"/>
      <c r="K38" s="11"/>
      <c r="L38" s="11"/>
      <c r="M38" s="411" t="s">
        <v>385</v>
      </c>
      <c r="N38" s="413"/>
      <c r="O38" s="412"/>
      <c r="P38" s="411" t="s">
        <v>387</v>
      </c>
      <c r="Q38" s="413"/>
      <c r="R38" s="412"/>
      <c r="S38" s="425" t="s">
        <v>388</v>
      </c>
    </row>
    <row r="39" spans="1:19" hidden="1" x14ac:dyDescent="0.25">
      <c r="A39" s="639"/>
      <c r="B39" s="641"/>
      <c r="C39" s="246" t="s">
        <v>389</v>
      </c>
      <c r="D39" s="10">
        <f>Materialeoutput!$F$11</f>
        <v>0</v>
      </c>
      <c r="E39" s="179" t="s">
        <v>45</v>
      </c>
      <c r="F39" s="10"/>
      <c r="G39" s="247">
        <f>Argumenter!B434</f>
        <v>75</v>
      </c>
      <c r="H39" s="248" t="s">
        <v>392</v>
      </c>
      <c r="I39" s="417"/>
      <c r="J39" s="258"/>
      <c r="K39" s="258"/>
      <c r="L39" s="258"/>
      <c r="M39" s="247">
        <f>Argumenter!B438</f>
        <v>431.57</v>
      </c>
      <c r="N39" s="258"/>
      <c r="O39" s="257"/>
      <c r="P39" s="420"/>
      <c r="Q39" s="251"/>
      <c r="R39" s="429"/>
      <c r="S39" s="507"/>
    </row>
    <row r="40" spans="1:19" hidden="1" x14ac:dyDescent="0.25">
      <c r="A40" s="639"/>
      <c r="B40" s="641"/>
      <c r="C40" s="246" t="str">
        <f>Cirkuleringsgreb!M15</f>
        <v>Genbrug</v>
      </c>
      <c r="D40" s="10">
        <f>Materialeoutput!$F$11</f>
        <v>0</v>
      </c>
      <c r="E40" s="179" t="s">
        <v>45</v>
      </c>
      <c r="F40" s="10"/>
      <c r="G40" s="247">
        <v>0</v>
      </c>
      <c r="H40" s="248" t="s">
        <v>392</v>
      </c>
      <c r="I40" s="415">
        <f>$G$39-G40</f>
        <v>75</v>
      </c>
      <c r="J40" s="249"/>
      <c r="K40" s="249"/>
      <c r="L40" s="249"/>
      <c r="M40" s="250"/>
      <c r="N40" s="249"/>
      <c r="O40" s="248"/>
      <c r="P40" s="420"/>
      <c r="Q40" s="251"/>
      <c r="R40" s="429"/>
      <c r="S40" s="422" t="s">
        <v>405</v>
      </c>
    </row>
    <row r="41" spans="1:19" ht="33" hidden="1" x14ac:dyDescent="0.25">
      <c r="A41" s="639"/>
      <c r="B41" s="641"/>
      <c r="C41" s="181" t="str">
        <f>Cirkuleringsgreb!M16</f>
        <v>Genanvendelse, til erstatning af ny asfalt</v>
      </c>
      <c r="D41" s="10">
        <f>Materialeoutput!$F$11</f>
        <v>0</v>
      </c>
      <c r="E41" s="179" t="s">
        <v>45</v>
      </c>
      <c r="F41" s="10"/>
      <c r="G41" s="247">
        <f>Argumenter!B435</f>
        <v>90</v>
      </c>
      <c r="H41" s="248" t="s">
        <v>392</v>
      </c>
      <c r="I41" s="415">
        <f>$G$39-G41</f>
        <v>-15</v>
      </c>
      <c r="J41" s="249"/>
      <c r="K41" s="249"/>
      <c r="L41" s="249"/>
      <c r="M41" s="250"/>
      <c r="N41" s="249"/>
      <c r="O41" s="248"/>
      <c r="P41" s="420"/>
      <c r="Q41" s="251"/>
      <c r="R41" s="429"/>
      <c r="S41" s="422" t="s">
        <v>406</v>
      </c>
    </row>
    <row r="42" spans="1:19" ht="49.5" hidden="1" x14ac:dyDescent="0.25">
      <c r="A42" s="639"/>
      <c r="B42" s="642"/>
      <c r="C42" s="193" t="str">
        <f>Cirkuleringsgreb!M17</f>
        <v>Downcycling, til erstatning af andre materialer</v>
      </c>
      <c r="D42" s="190">
        <f>Materialeoutput!$F$11</f>
        <v>0</v>
      </c>
      <c r="E42" s="191" t="s">
        <v>45</v>
      </c>
      <c r="F42" s="10"/>
      <c r="G42" s="253">
        <f>Argumenter!B436</f>
        <v>82.5</v>
      </c>
      <c r="H42" s="254" t="s">
        <v>392</v>
      </c>
      <c r="I42" s="416">
        <f>$G$39-G42</f>
        <v>-7.5</v>
      </c>
      <c r="J42" s="249"/>
      <c r="K42" s="249"/>
      <c r="L42" s="249"/>
      <c r="M42" s="255"/>
      <c r="N42" s="256"/>
      <c r="O42" s="254"/>
      <c r="P42" s="426"/>
      <c r="Q42" s="424"/>
      <c r="R42" s="430"/>
      <c r="S42" s="428" t="s">
        <v>407</v>
      </c>
    </row>
    <row r="43" spans="1:19" hidden="1" x14ac:dyDescent="0.25">
      <c r="A43" s="639"/>
    </row>
    <row r="44" spans="1:19" hidden="1" x14ac:dyDescent="0.25">
      <c r="A44" s="639"/>
    </row>
    <row r="45" spans="1:19" hidden="1" x14ac:dyDescent="0.25">
      <c r="A45" s="639"/>
    </row>
    <row r="46" spans="1:19" ht="24" hidden="1" x14ac:dyDescent="0.25">
      <c r="A46" s="639"/>
      <c r="G46" s="645" t="s">
        <v>382</v>
      </c>
      <c r="H46" s="645"/>
      <c r="I46" s="554"/>
      <c r="J46" s="554"/>
      <c r="K46" s="554"/>
      <c r="L46" s="554"/>
      <c r="M46" s="554"/>
      <c r="N46" s="554" t="s">
        <v>384</v>
      </c>
      <c r="O46" s="554"/>
    </row>
    <row r="47" spans="1:19" ht="31.5" hidden="1" customHeight="1" x14ac:dyDescent="0.25">
      <c r="A47" s="639"/>
      <c r="B47" s="640" t="s">
        <v>137</v>
      </c>
      <c r="C47" s="410" t="s">
        <v>268</v>
      </c>
      <c r="D47" s="643" t="s">
        <v>4</v>
      </c>
      <c r="E47" s="644"/>
      <c r="F47" s="10"/>
      <c r="G47" s="411" t="s">
        <v>385</v>
      </c>
      <c r="H47" s="412" t="s">
        <v>386</v>
      </c>
      <c r="I47" s="414" t="s">
        <v>387</v>
      </c>
      <c r="J47" s="11"/>
      <c r="K47" s="11"/>
      <c r="L47" s="11"/>
      <c r="M47" s="411"/>
      <c r="N47" s="413"/>
      <c r="O47" s="412"/>
      <c r="P47" s="411" t="s">
        <v>387</v>
      </c>
      <c r="Q47" s="413"/>
      <c r="R47" s="412"/>
      <c r="S47" s="425" t="s">
        <v>388</v>
      </c>
    </row>
    <row r="48" spans="1:19" hidden="1" x14ac:dyDescent="0.25">
      <c r="A48" s="639"/>
      <c r="B48" s="641"/>
      <c r="C48" s="246" t="s">
        <v>389</v>
      </c>
      <c r="D48" s="10">
        <f>Materialeoutput!$F$13</f>
        <v>0</v>
      </c>
      <c r="E48" s="179" t="s">
        <v>45</v>
      </c>
      <c r="F48" s="10"/>
      <c r="G48" s="247" t="e" cm="1">
        <f t="array" ref="G48">_xlfn.IFS(AND(#REF!=Argumenter!A450),Argumenter!B451,AND(#REF!=Argumenter!A461),Argumenter!B462)</f>
        <v>#REF!</v>
      </c>
      <c r="H48" s="257"/>
      <c r="I48" s="417"/>
      <c r="J48" s="258"/>
      <c r="K48" s="258"/>
      <c r="L48" s="258"/>
      <c r="M48" s="247"/>
      <c r="N48" s="258"/>
      <c r="O48" s="257"/>
      <c r="P48" s="420"/>
      <c r="Q48" s="251"/>
      <c r="R48" s="429"/>
      <c r="S48" s="507"/>
    </row>
    <row r="49" spans="1:19" hidden="1" x14ac:dyDescent="0.25">
      <c r="A49" s="639"/>
      <c r="B49" s="641"/>
      <c r="C49" s="246" t="s">
        <v>167</v>
      </c>
      <c r="D49" s="10">
        <f>Materialeoutput!$F$13</f>
        <v>0</v>
      </c>
      <c r="E49" s="179" t="s">
        <v>45</v>
      </c>
      <c r="F49" s="10"/>
      <c r="G49" s="247" t="e" cm="1">
        <f t="array" ref="G49">_xlfn.IFS(AND(#REF!=Argumenter!A450),Argumenter!B452,AND(#REF!=Argumenter!A461),Argumenter!B463)</f>
        <v>#REF!</v>
      </c>
      <c r="H49" s="248"/>
      <c r="I49" s="415" t="e">
        <f>$G$48-G49</f>
        <v>#REF!</v>
      </c>
      <c r="J49" s="249"/>
      <c r="K49" s="249"/>
      <c r="L49" s="249"/>
      <c r="M49" s="250"/>
      <c r="N49" s="249"/>
      <c r="O49" s="248"/>
      <c r="P49" s="420"/>
      <c r="Q49" s="251"/>
      <c r="R49" s="429"/>
      <c r="S49" s="507" t="e" cm="1">
        <f t="array" ref="S49">_xlfn.IFS(AND(#REF!=Argumenter!A450),Argumenter!B474,AND(#REF!=Argumenter!A461),Argumenter!B475)</f>
        <v>#REF!</v>
      </c>
    </row>
    <row r="50" spans="1:19" hidden="1" x14ac:dyDescent="0.25">
      <c r="A50" s="639"/>
      <c r="B50" s="641"/>
      <c r="C50" s="246" t="s">
        <v>173</v>
      </c>
      <c r="D50" s="10">
        <f>Materialeoutput!$F$13</f>
        <v>0</v>
      </c>
      <c r="E50" s="179" t="s">
        <v>45</v>
      </c>
      <c r="F50" s="10"/>
      <c r="G50" s="247" t="e" cm="1">
        <f t="array" ref="G50">_xlfn.IFS(AND(#REF!=Argumenter!A450),Argumenter!B452,AND(#REF!=Argumenter!A461),Argumenter!B463)</f>
        <v>#REF!</v>
      </c>
      <c r="H50" s="248"/>
      <c r="I50" s="415" t="e">
        <f>$G$48-G50</f>
        <v>#REF!</v>
      </c>
      <c r="J50" s="249"/>
      <c r="K50" s="249"/>
      <c r="L50" s="249"/>
      <c r="M50" s="250"/>
      <c r="N50" s="249"/>
      <c r="O50" s="248"/>
      <c r="P50" s="420"/>
      <c r="R50" s="429"/>
      <c r="S50" s="507" t="e" cm="1">
        <f t="array" ref="S50">_xlfn.IFS(AND(#REF!=Argumenter!A450),Argumenter!B477,AND(#REF!=Argumenter!A461),Argumenter!B478)</f>
        <v>#REF!</v>
      </c>
    </row>
    <row r="51" spans="1:19" hidden="1" x14ac:dyDescent="0.25">
      <c r="A51" s="639"/>
      <c r="B51" s="642"/>
      <c r="C51" s="252" t="s">
        <v>174</v>
      </c>
      <c r="D51" s="190">
        <f>Materialeoutput!G42</f>
        <v>0</v>
      </c>
      <c r="E51" s="191" t="s">
        <v>294</v>
      </c>
      <c r="F51" s="10"/>
      <c r="G51" s="253" t="e" cm="1">
        <f t="array" ref="G51">_xlfn.IFS(AND(#REF!=Argumenter!A450),Argumenter!B451,AND(#REF!=Argumenter!A461),Argumenter!B462)</f>
        <v>#REF!</v>
      </c>
      <c r="H51" s="254"/>
      <c r="I51" s="416" t="e">
        <f>$G$48-G51</f>
        <v>#REF!</v>
      </c>
      <c r="J51" s="249"/>
      <c r="K51" s="249"/>
      <c r="L51" s="249"/>
      <c r="M51" s="255"/>
      <c r="N51" s="256"/>
      <c r="O51" s="254"/>
      <c r="P51" s="426"/>
      <c r="Q51" s="252"/>
      <c r="R51" s="430"/>
      <c r="S51" s="508" t="e" cm="1">
        <f t="array" ref="S51">_xlfn.IFS(AND(#REF!=Argumenter!A450),Argumenter!B480,AND(#REF!=Argumenter!A461),Argumenter!B481)</f>
        <v>#REF!</v>
      </c>
    </row>
  </sheetData>
  <mergeCells count="23">
    <mergeCell ref="B21:B25"/>
    <mergeCell ref="G2:H2"/>
    <mergeCell ref="G3:H3"/>
    <mergeCell ref="G11:H11"/>
    <mergeCell ref="B3:E3"/>
    <mergeCell ref="D4:E4"/>
    <mergeCell ref="B4:B8"/>
    <mergeCell ref="A4:A25"/>
    <mergeCell ref="A30:A51"/>
    <mergeCell ref="B47:B51"/>
    <mergeCell ref="D47:E47"/>
    <mergeCell ref="G37:H37"/>
    <mergeCell ref="B38:B42"/>
    <mergeCell ref="D38:E38"/>
    <mergeCell ref="G46:H46"/>
    <mergeCell ref="B29:E29"/>
    <mergeCell ref="G29:H29"/>
    <mergeCell ref="B30:B34"/>
    <mergeCell ref="D30:E30"/>
    <mergeCell ref="G20:H20"/>
    <mergeCell ref="D12:E12"/>
    <mergeCell ref="D21:E21"/>
    <mergeCell ref="B12:B16"/>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07C13CBC1EED2E468EFF6D8EE4B8EDB5" ma:contentTypeVersion="18" ma:contentTypeDescription="Opret et nyt dokument." ma:contentTypeScope="" ma:versionID="f36d6222220ace54d53e89c8df286314">
  <xsd:schema xmlns:xsd="http://www.w3.org/2001/XMLSchema" xmlns:xs="http://www.w3.org/2001/XMLSchema" xmlns:p="http://schemas.microsoft.com/office/2006/metadata/properties" xmlns:ns2="4d3ea3af-1976-41d2-832e-f02140f3e8ba" xmlns:ns3="98538191-b01d-422d-b3d4-47a8510dc08b" xmlns:ns4="0dd46b0f-e2c7-4a31-a61e-54a1e81a6d74" targetNamespace="http://schemas.microsoft.com/office/2006/metadata/properties" ma:root="true" ma:fieldsID="d1ae594526e1aff07bc9cd1094fe8721" ns2:_="" ns3:_="" ns4:_="">
    <xsd:import namespace="4d3ea3af-1976-41d2-832e-f02140f3e8ba"/>
    <xsd:import namespace="98538191-b01d-422d-b3d4-47a8510dc08b"/>
    <xsd:import namespace="0dd46b0f-e2c7-4a31-a61e-54a1e81a6d7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lcf76f155ced4ddcb4097134ff3c332f" minOccurs="0"/>
                <xsd:element ref="ns4:TaxCatchAll" minOccurs="0"/>
                <xsd:element ref="ns2:eDoc"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3ea3af-1976-41d2-832e-f02140f3e8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ledmærker" ma:readOnly="false" ma:fieldId="{5cf76f15-5ced-4ddc-b409-7134ff3c332f}" ma:taxonomyMulti="true" ma:sspId="e6a412d2-aea5-45d9-add9-4615ec186553" ma:termSetId="09814cd3-568e-fe90-9814-8d621ff8fb84" ma:anchorId="fba54fb3-c3e1-fe81-a776-ca4b69148c4d" ma:open="true" ma:isKeyword="false">
      <xsd:complexType>
        <xsd:sequence>
          <xsd:element ref="pc:Terms" minOccurs="0" maxOccurs="1"/>
        </xsd:sequence>
      </xsd:complexType>
    </xsd:element>
    <xsd:element name="eDoc" ma:index="24" nillable="true" ma:displayName="eDoc" ma:internalName="eDoc">
      <xsd:simpleType>
        <xsd:restriction base="dms:Text"/>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8538191-b01d-422d-b3d4-47a8510dc08b"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dd46b0f-e2c7-4a31-a61e-54a1e81a6d74"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5cc417c1-7805-4640-b84d-4155ed2af356}" ma:internalName="TaxCatchAll" ma:showField="CatchAllData" ma:web="98538191-b01d-422d-b3d4-47a8510dc08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98538191-b01d-422d-b3d4-47a8510dc08b">
      <UserInfo>
        <DisplayName/>
        <AccountId xsi:nil="true"/>
        <AccountType/>
      </UserInfo>
    </SharedWithUsers>
    <MediaLengthInSeconds xmlns="4d3ea3af-1976-41d2-832e-f02140f3e8ba" xsi:nil="true"/>
    <TaxCatchAll xmlns="0dd46b0f-e2c7-4a31-a61e-54a1e81a6d74" xsi:nil="true"/>
    <lcf76f155ced4ddcb4097134ff3c332f xmlns="4d3ea3af-1976-41d2-832e-f02140f3e8ba">
      <Terms xmlns="http://schemas.microsoft.com/office/infopath/2007/PartnerControls"/>
    </lcf76f155ced4ddcb4097134ff3c332f>
    <eDoc xmlns="4d3ea3af-1976-41d2-832e-f02140f3e8b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045318B-2AD2-452B-9675-0804E5E56BAA}"/>
</file>

<file path=customXml/itemProps2.xml><?xml version="1.0" encoding="utf-8"?>
<ds:datastoreItem xmlns:ds="http://schemas.openxmlformats.org/officeDocument/2006/customXml" ds:itemID="{C94DC9D9-CF4F-4116-B0D1-AAFD237281A1}">
  <ds:schemaRefs>
    <ds:schemaRef ds:uri="http://purl.org/dc/elements/1.1/"/>
    <ds:schemaRef ds:uri="4d3ea3af-1976-41d2-832e-f02140f3e8ba"/>
    <ds:schemaRef ds:uri="http://schemas.openxmlformats.org/package/2006/metadata/core-properties"/>
    <ds:schemaRef ds:uri="http://www.w3.org/XML/1998/namespace"/>
    <ds:schemaRef ds:uri="http://purl.org/dc/terms/"/>
    <ds:schemaRef ds:uri="0dd46b0f-e2c7-4a31-a61e-54a1e81a6d74"/>
    <ds:schemaRef ds:uri="http://purl.org/dc/dcmitype/"/>
    <ds:schemaRef ds:uri="http://schemas.microsoft.com/office/2006/documentManagement/types"/>
    <ds:schemaRef ds:uri="http://schemas.microsoft.com/office/2006/metadata/properties"/>
    <ds:schemaRef ds:uri="http://schemas.microsoft.com/office/infopath/2007/PartnerControls"/>
    <ds:schemaRef ds:uri="98538191-b01d-422d-b3d4-47a8510dc08b"/>
  </ds:schemaRefs>
</ds:datastoreItem>
</file>

<file path=customXml/itemProps3.xml><?xml version="1.0" encoding="utf-8"?>
<ds:datastoreItem xmlns:ds="http://schemas.openxmlformats.org/officeDocument/2006/customXml" ds:itemID="{F4636853-C1FD-49DB-B8A5-ED88FCCB4C5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9</vt:i4>
      </vt:variant>
    </vt:vector>
  </HeadingPairs>
  <TitlesOfParts>
    <vt:vector size="9" baseType="lpstr">
      <vt:lpstr>INTRO</vt:lpstr>
      <vt:lpstr>INPUT</vt:lpstr>
      <vt:lpstr>OUTPUT</vt:lpstr>
      <vt:lpstr>KOMMUNIKATION</vt:lpstr>
      <vt:lpstr>Argumenter</vt:lpstr>
      <vt:lpstr>Cirkuleringsgreb</vt:lpstr>
      <vt:lpstr>Materialeoutput</vt:lpstr>
      <vt:lpstr>Referencehus</vt:lpstr>
      <vt:lpstr>Økonomi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Tim Riis Tolman</dc:creator>
  <cp:keywords/>
  <dc:description/>
  <cp:lastModifiedBy>Øystein Leonardsen</cp:lastModifiedBy>
  <cp:revision/>
  <dcterms:created xsi:type="dcterms:W3CDTF">2019-12-05T08:11:49Z</dcterms:created>
  <dcterms:modified xsi:type="dcterms:W3CDTF">2023-05-17T14:34:22Z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0x01010007C13CBC1EED2E468EFF6D8EE4B8EDB5</vt:lpwstr>
  </property>
  <property fmtid="{D5CDD505-2E9C-101B-9397-08002B2CF9AE}" pid="3" name="Order">
    <vt:r8>699700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y fmtid="{D5CDD505-2E9C-101B-9397-08002B2CF9AE}" pid="10" name="CloudStatistics_StoryID">
    <vt:lpwstr>6f64e068-df31-4a7d-873e-96ef819867ec</vt:lpwstr>
  </property>
  <property fmtid="{D5CDD505-2E9C-101B-9397-08002B2CF9AE}" pid="11" name="MediaServiceImageTags">
    <vt:lpwstr/>
  </property>
</Properties>
</file>