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Denne_projektmappe" hidePivotFieldList="1" defaultThemeVersion="166925"/>
  <mc:AlternateContent xmlns:mc="http://schemas.openxmlformats.org/markup-compatibility/2006">
    <mc:Choice Requires="x15">
      <x15ac:absPath xmlns:x15ac="http://schemas.microsoft.com/office/spreadsheetml/2010/11/ac" url="https://kksky-my.sharepoint.com/personal/dornie_kk_dk/Documents/skrivebord/"/>
    </mc:Choice>
  </mc:AlternateContent>
  <xr:revisionPtr revIDLastSave="0" documentId="14_{FE7EF3EA-DFF5-43FF-87BD-EBA60919CAB7}" xr6:coauthVersionLast="47" xr6:coauthVersionMax="47" xr10:uidLastSave="{00000000-0000-0000-0000-000000000000}"/>
  <bookViews>
    <workbookView xWindow="-108" yWindow="-108" windowWidth="23256" windowHeight="12456" tabRatio="789" xr2:uid="{00000000-000D-0000-FFFF-FFFF00000000}"/>
  </bookViews>
  <sheets>
    <sheet name="INTRO" sheetId="35" r:id="rId1"/>
    <sheet name="INPUT" sheetId="22" r:id="rId2"/>
    <sheet name="OUTPUT" sheetId="32" r:id="rId3"/>
    <sheet name="KOMMUNIKATION" sheetId="33" r:id="rId4"/>
    <sheet name="Argumenter" sheetId="5" state="hidden" r:id="rId5"/>
    <sheet name="Cirkuleringsgreb" sheetId="11" state="hidden" r:id="rId6"/>
    <sheet name="Materialeoutput" sheetId="1" state="hidden" r:id="rId7"/>
    <sheet name="Reference Hus" sheetId="34" state="hidden" r:id="rId8"/>
    <sheet name="Økonomi" sheetId="20" state="hidden" r:id="rId9"/>
    <sheet name="Ekstra" sheetId="30" state="hidden" r:id="rId10"/>
  </sheets>
  <definedNames>
    <definedName name="_xlnm._FilterDatabase" localSheetId="1" hidden="1">INPUT!$D$5:$L$8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1" i="34" l="1"/>
  <c r="E30" i="34"/>
  <c r="E25" i="34"/>
  <c r="E26" i="34"/>
  <c r="E27" i="34"/>
  <c r="E28" i="34"/>
  <c r="E29" i="34"/>
  <c r="B35" i="34"/>
  <c r="B34" i="34"/>
  <c r="B33" i="34"/>
  <c r="B30" i="34" l="1"/>
  <c r="B26" i="34" l="1"/>
  <c r="B25" i="34"/>
  <c r="B8" i="34" l="1"/>
  <c r="AC17" i="11" l="1" a="1"/>
  <c r="AC17" i="11" s="1"/>
  <c r="B430" i="5" l="1"/>
  <c r="B429" i="5"/>
  <c r="B427" i="5"/>
  <c r="B425" i="5"/>
  <c r="B426" i="5"/>
  <c r="B428" i="5"/>
  <c r="S17" i="11" l="1" a="1"/>
  <c r="S17" i="11" s="1"/>
  <c r="M15" i="11"/>
  <c r="G27" i="32" a="1"/>
  <c r="G27" i="32" s="1"/>
  <c r="G31" i="32" l="1"/>
  <c r="O16" i="11" l="1" a="1"/>
  <c r="O16" i="11" s="1"/>
  <c r="S16" i="11" s="1" a="1"/>
  <c r="S16" i="11" s="1"/>
  <c r="S49" i="20" l="1" a="1"/>
  <c r="S49" i="20" s="1"/>
  <c r="M16" i="11" l="1"/>
  <c r="I17" i="11" a="1"/>
  <c r="I17" i="11" s="1"/>
  <c r="K26" i="1" l="1"/>
  <c r="G24" i="1"/>
  <c r="I24" i="1" l="1"/>
  <c r="H24" i="1"/>
  <c r="F31" i="32"/>
  <c r="P11" i="33" l="1"/>
  <c r="F29" i="32"/>
  <c r="F27" i="32"/>
  <c r="E27" i="32" l="1"/>
  <c r="E31" i="32"/>
  <c r="E29" i="32"/>
  <c r="D27" i="32"/>
  <c r="D29" i="32"/>
  <c r="G29" i="32" a="1"/>
  <c r="G29" i="32" s="1"/>
  <c r="D31" i="32"/>
  <c r="K28" i="1" l="1"/>
  <c r="G28" i="1"/>
  <c r="G26" i="1"/>
  <c r="K24" i="1"/>
  <c r="I28" i="1" l="1"/>
  <c r="H28" i="1"/>
  <c r="P30" i="33" s="1"/>
  <c r="I26" i="1"/>
  <c r="P20" i="33" s="1"/>
  <c r="H26" i="1"/>
  <c r="K8" i="33" s="1"/>
  <c r="F28" i="1"/>
  <c r="F26" i="1"/>
  <c r="F24" i="1"/>
  <c r="B389" i="5" l="1"/>
  <c r="F9" i="1" l="1"/>
  <c r="G9" i="1" s="1"/>
  <c r="H9" i="1" s="1"/>
  <c r="I9" i="1" s="1"/>
  <c r="O15" i="11" l="1" a="1"/>
  <c r="O15" i="11" s="1"/>
  <c r="N6" i="11" a="1"/>
  <c r="N6" i="11" s="1"/>
  <c r="B392" i="5"/>
  <c r="M16" i="20" s="1"/>
  <c r="B391" i="5"/>
  <c r="B390" i="5"/>
  <c r="B379" i="5"/>
  <c r="B378" i="5"/>
  <c r="B377" i="5"/>
  <c r="S15" i="11" l="1" a="1"/>
  <c r="S15" i="11" s="1"/>
  <c r="M39" i="20"/>
  <c r="N23" i="20"/>
  <c r="M23" i="20" s="1"/>
  <c r="N24" i="20"/>
  <c r="M24" i="20" s="1"/>
  <c r="N25" i="20"/>
  <c r="M25" i="20" s="1"/>
  <c r="N22" i="20"/>
  <c r="M22" i="20" s="1"/>
  <c r="M14" i="20"/>
  <c r="M15" i="20"/>
  <c r="M6" i="20"/>
  <c r="N6" i="20" s="1"/>
  <c r="M7" i="20"/>
  <c r="M8" i="20"/>
  <c r="N8" i="20" s="1"/>
  <c r="P24" i="20" l="1"/>
  <c r="P25" i="20"/>
  <c r="P23" i="20"/>
  <c r="N7" i="20"/>
  <c r="M13" i="20" l="1"/>
  <c r="P14" i="20" l="1"/>
  <c r="P16" i="20"/>
  <c r="P15" i="20"/>
  <c r="B376" i="5"/>
  <c r="M5" i="20" s="1"/>
  <c r="P8" i="20" l="1"/>
  <c r="P7" i="20"/>
  <c r="P6" i="20"/>
  <c r="N5" i="20"/>
  <c r="F11" i="1" l="1"/>
  <c r="I11" i="1" s="1"/>
  <c r="S51" i="20" l="1" a="1"/>
  <c r="S51" i="20" s="1"/>
  <c r="S50" i="20" a="1"/>
  <c r="S50" i="20" s="1"/>
  <c r="B445" i="5"/>
  <c r="G42" i="20" s="1"/>
  <c r="B401" i="5"/>
  <c r="G24" i="20" s="1"/>
  <c r="H24" i="20" s="1"/>
  <c r="B402" i="5"/>
  <c r="H25" i="20" s="1"/>
  <c r="G25" i="20" l="1"/>
  <c r="B387" i="5"/>
  <c r="G16" i="20" s="1"/>
  <c r="B373" i="5"/>
  <c r="G8" i="20" s="1"/>
  <c r="G61" i="1" l="1"/>
  <c r="F61" i="1"/>
  <c r="G60" i="1"/>
  <c r="F60" i="1"/>
  <c r="G59" i="1"/>
  <c r="F59" i="1"/>
  <c r="G58" i="1"/>
  <c r="F58" i="1"/>
  <c r="G57" i="1"/>
  <c r="F57" i="1"/>
  <c r="G56" i="1"/>
  <c r="G55" i="1"/>
  <c r="G54" i="1"/>
  <c r="G53" i="1"/>
  <c r="L29" i="32" l="1"/>
  <c r="L27" i="32"/>
  <c r="L31" i="32"/>
  <c r="B420" i="5"/>
  <c r="B419" i="5"/>
  <c r="B418" i="5"/>
  <c r="G48" i="20" a="1"/>
  <c r="G48" i="20" s="1"/>
  <c r="B471" i="5"/>
  <c r="B472" i="5" s="1"/>
  <c r="B461" i="5"/>
  <c r="B421" i="5" l="1"/>
  <c r="B422" i="5"/>
  <c r="G8" i="33"/>
  <c r="G39" i="20"/>
  <c r="B444" i="5"/>
  <c r="G41" i="20" s="1"/>
  <c r="B235" i="5"/>
  <c r="B275" i="5" s="1"/>
  <c r="B317" i="5" s="1"/>
  <c r="B234" i="5"/>
  <c r="B274" i="5" s="1"/>
  <c r="B316" i="5" s="1"/>
  <c r="B233" i="5"/>
  <c r="B273" i="5" s="1"/>
  <c r="B315" i="5" s="1"/>
  <c r="I40" i="20" l="1"/>
  <c r="I41" i="20"/>
  <c r="I42" i="20"/>
  <c r="G51" i="20" a="1"/>
  <c r="G51" i="20" s="1"/>
  <c r="G50" i="20" a="1"/>
  <c r="G50" i="20" s="1"/>
  <c r="G49" i="20" a="1"/>
  <c r="G49" i="20" s="1"/>
  <c r="I50" i="20" l="1"/>
  <c r="I51" i="20"/>
  <c r="I49" i="20"/>
  <c r="C34" i="20" l="1"/>
  <c r="C33" i="20"/>
  <c r="D51" i="20"/>
  <c r="D34" i="20"/>
  <c r="A55" i="5"/>
  <c r="A46" i="5"/>
  <c r="A33" i="5"/>
  <c r="E7" i="11" a="1"/>
  <c r="E7" i="11" s="1"/>
  <c r="E6" i="11" a="1"/>
  <c r="E6" i="11" s="1"/>
  <c r="H8" i="20"/>
  <c r="G7" i="20"/>
  <c r="D9" i="5"/>
  <c r="C9" i="5"/>
  <c r="B9" i="5"/>
  <c r="G13" i="20"/>
  <c r="I16" i="20" l="1"/>
  <c r="H7" i="20"/>
  <c r="H23" i="20" l="1"/>
  <c r="G23" i="20"/>
  <c r="H22" i="20"/>
  <c r="G22" i="20"/>
  <c r="G6" i="20"/>
  <c r="H6" i="20" s="1"/>
  <c r="G5" i="20"/>
  <c r="I24" i="20" l="1"/>
  <c r="I23" i="20"/>
  <c r="I25" i="20"/>
  <c r="H5" i="20"/>
  <c r="I6" i="20"/>
  <c r="I7" i="20"/>
  <c r="I8" i="20"/>
  <c r="Y16" i="11" l="1"/>
  <c r="AC16" i="11" s="1" a="1"/>
  <c r="AC16" i="11" s="1"/>
  <c r="Z17" i="11" a="1"/>
  <c r="Z17" i="11" s="1"/>
  <c r="Y15" i="11"/>
  <c r="AC15" i="11" s="1" a="1"/>
  <c r="AC15" i="11" s="1"/>
  <c r="K17" i="11" l="1" a="1"/>
  <c r="K17" i="11" s="1"/>
  <c r="U17" i="11" a="1"/>
  <c r="U17" i="11" s="1"/>
  <c r="U16" i="11" a="1"/>
  <c r="U16" i="11" s="1"/>
  <c r="L32" i="33"/>
  <c r="AE17" i="11" a="1"/>
  <c r="AE17" i="11" s="1"/>
  <c r="Z16" i="11" a="1"/>
  <c r="Z16" i="11" s="1"/>
  <c r="AE16" i="11" a="1"/>
  <c r="AE16" i="11" s="1"/>
  <c r="Z15" i="11" a="1"/>
  <c r="Z15" i="11" s="1"/>
  <c r="H31" i="32" s="1" a="1"/>
  <c r="H31" i="32" s="1"/>
  <c r="K31" i="32" s="1"/>
  <c r="AE15" i="11" a="1"/>
  <c r="AE15" i="11" s="1"/>
  <c r="J32" i="33"/>
  <c r="E15" i="11" a="1"/>
  <c r="E15" i="11" s="1"/>
  <c r="I15" i="11" s="1" a="1"/>
  <c r="I15" i="11" s="1"/>
  <c r="M17" i="11"/>
  <c r="B230" i="5" s="1"/>
  <c r="B270" i="5" s="1"/>
  <c r="B312" i="5" s="1"/>
  <c r="K32" i="33" l="1"/>
  <c r="K17" i="33" s="1"/>
  <c r="O31" i="32" a="1"/>
  <c r="O31" i="32" s="1"/>
  <c r="I31" i="32" a="1"/>
  <c r="I31" i="32" s="1"/>
  <c r="P31" i="32" a="1"/>
  <c r="P31" i="32" s="1"/>
  <c r="N31" i="32" a="1"/>
  <c r="N31" i="32" s="1"/>
  <c r="K15" i="11" a="1"/>
  <c r="K15" i="11" s="1"/>
  <c r="P16" i="11" a="1"/>
  <c r="P16" i="11" s="1"/>
  <c r="H29" i="32" s="1" a="1"/>
  <c r="H29" i="32" s="1"/>
  <c r="U15" i="11" a="1"/>
  <c r="U15" i="11" s="1"/>
  <c r="C40" i="20"/>
  <c r="B228" i="5"/>
  <c r="B268" i="5" s="1"/>
  <c r="B310" i="5" s="1"/>
  <c r="C41" i="20"/>
  <c r="B229" i="5"/>
  <c r="B269" i="5" s="1"/>
  <c r="B311" i="5" s="1"/>
  <c r="D33" i="20"/>
  <c r="D32" i="20"/>
  <c r="D31" i="20"/>
  <c r="P17" i="11" a="1"/>
  <c r="P17" i="11" s="1"/>
  <c r="C42" i="20"/>
  <c r="P15" i="11" a="1"/>
  <c r="P15" i="11" s="1"/>
  <c r="F15" i="11" l="1" a="1"/>
  <c r="F15" i="11" s="1"/>
  <c r="E16" i="11"/>
  <c r="I16" i="11" s="1" a="1"/>
  <c r="I16" i="11" s="1"/>
  <c r="I29" i="32" l="1" a="1"/>
  <c r="I29" i="32" s="1"/>
  <c r="K29" i="32"/>
  <c r="P29" i="32" a="1"/>
  <c r="P29" i="32" s="1"/>
  <c r="N29" i="32" a="1"/>
  <c r="N29" i="32" s="1"/>
  <c r="O29" i="32" a="1"/>
  <c r="O29" i="32" s="1"/>
  <c r="K16" i="11" a="1"/>
  <c r="K16" i="11" s="1"/>
  <c r="AD17" i="11" a="1"/>
  <c r="AD17" i="11" s="1"/>
  <c r="AB17" i="11" a="1"/>
  <c r="AB17" i="11" s="1"/>
  <c r="AA17" i="11" a="1"/>
  <c r="AA17" i="11" s="1"/>
  <c r="AD16" i="11" a="1"/>
  <c r="AD16" i="11" s="1"/>
  <c r="AA16" i="11" a="1"/>
  <c r="AA16" i="11" s="1"/>
  <c r="AB16" i="11" a="1"/>
  <c r="AB16" i="11" s="1"/>
  <c r="AD15" i="11" a="1"/>
  <c r="AD15" i="11" s="1"/>
  <c r="AB15" i="11" a="1"/>
  <c r="AB15" i="11" s="1"/>
  <c r="AA15" i="11" a="1"/>
  <c r="AA15" i="11" s="1"/>
  <c r="Q17" i="11" a="1"/>
  <c r="Q17" i="11" s="1"/>
  <c r="R17" i="11" a="1"/>
  <c r="R17" i="11" s="1"/>
  <c r="T17" i="11" a="1"/>
  <c r="T17" i="11" s="1"/>
  <c r="T16" i="11" a="1"/>
  <c r="T16" i="11" s="1"/>
  <c r="R16" i="11" a="1"/>
  <c r="R16" i="11" s="1"/>
  <c r="Q16" i="11" a="1"/>
  <c r="Q16" i="11" s="1"/>
  <c r="T15" i="11" a="1"/>
  <c r="T15" i="11" s="1"/>
  <c r="R15" i="11" a="1"/>
  <c r="R15" i="11" s="1"/>
  <c r="Q15" i="11" a="1"/>
  <c r="Q15" i="11" s="1"/>
  <c r="J29" i="32" l="1" a="1"/>
  <c r="J29" i="32" s="1"/>
  <c r="M29" i="32" a="1"/>
  <c r="M29" i="32" s="1"/>
  <c r="J31" i="32" a="1"/>
  <c r="J31" i="32" s="1"/>
  <c r="M31" i="32" a="1"/>
  <c r="M31" i="32" s="1"/>
  <c r="J17" i="11" a="1"/>
  <c r="J17" i="11" s="1"/>
  <c r="H17" i="11" a="1"/>
  <c r="H17" i="11" s="1"/>
  <c r="G17" i="11" a="1"/>
  <c r="G17" i="11" s="1"/>
  <c r="J16" i="11" a="1"/>
  <c r="J16" i="11" s="1"/>
  <c r="H16" i="11" a="1"/>
  <c r="H16" i="11" s="1"/>
  <c r="G16" i="11" a="1"/>
  <c r="G16" i="11" s="1"/>
  <c r="H15" i="11" a="1"/>
  <c r="H15" i="11" s="1"/>
  <c r="N7" i="11" a="1"/>
  <c r="N7" i="11" s="1"/>
  <c r="F17" i="11" a="1"/>
  <c r="F17" i="11" s="1"/>
  <c r="F16" i="11" a="1"/>
  <c r="F16" i="11" s="1"/>
  <c r="H27" i="32" s="1" a="1"/>
  <c r="H27" i="32" s="1"/>
  <c r="P27" i="32" s="1" a="1"/>
  <c r="P27" i="32" s="1"/>
  <c r="B170" i="5"/>
  <c r="B169" i="5"/>
  <c r="B164" i="5"/>
  <c r="A185" i="5"/>
  <c r="A171" i="5"/>
  <c r="A163" i="5"/>
  <c r="K27" i="32" l="1"/>
  <c r="I27" i="32" a="1"/>
  <c r="I27" i="32" s="1"/>
  <c r="N27" i="32" a="1"/>
  <c r="N27" i="32" s="1"/>
  <c r="J27" i="32" a="1"/>
  <c r="J27" i="32" s="1"/>
  <c r="Q17" i="30"/>
  <c r="Q18" i="30"/>
  <c r="Q16" i="30"/>
  <c r="R17" i="30"/>
  <c r="R18" i="30"/>
  <c r="R16" i="30"/>
  <c r="G15" i="11" a="1"/>
  <c r="G15" i="11" s="1"/>
  <c r="J15" i="11" a="1"/>
  <c r="J15" i="11" s="1"/>
  <c r="M27" i="32" s="1" a="1"/>
  <c r="M27" i="32" s="1"/>
  <c r="B224" i="5"/>
  <c r="B225" i="5"/>
  <c r="B226" i="5"/>
  <c r="B264" i="5" l="1"/>
  <c r="B305" i="5" s="1"/>
  <c r="B266" i="5"/>
  <c r="B307" i="5" s="1"/>
  <c r="B265" i="5"/>
  <c r="B306" i="5" s="1"/>
  <c r="W7" i="11"/>
  <c r="W6" i="11"/>
  <c r="AC6" i="11" s="1" a="1"/>
  <c r="AC6" i="11" s="1"/>
  <c r="R6" i="11" a="1"/>
  <c r="R6" i="11" s="1"/>
  <c r="B133" i="5" l="1"/>
  <c r="B158" i="5" s="1"/>
  <c r="B132" i="5"/>
  <c r="B157" i="5" s="1"/>
  <c r="B131" i="5"/>
  <c r="B156" i="5" s="1"/>
  <c r="D7" i="5"/>
  <c r="C7" i="5"/>
  <c r="B7" i="5"/>
  <c r="B386" i="5" l="1"/>
  <c r="G15" i="20" l="1"/>
  <c r="G14" i="20"/>
  <c r="I14" i="20" l="1"/>
  <c r="I15" i="20"/>
  <c r="Z8" i="11" a="1"/>
  <c r="Z8" i="11" s="1"/>
  <c r="Q8" i="11" a="1"/>
  <c r="Q8" i="11" s="1"/>
  <c r="AB8" i="11" a="1"/>
  <c r="AB8" i="11" s="1"/>
  <c r="S8" i="11" a="1"/>
  <c r="S8" i="11" s="1"/>
  <c r="J8" i="11" a="1"/>
  <c r="J8" i="11" s="1"/>
  <c r="H8" i="11" a="1"/>
  <c r="H8" i="11" s="1"/>
  <c r="J7" i="11" l="1" a="1"/>
  <c r="J6" i="11" a="1"/>
  <c r="H6" i="11" a="1"/>
  <c r="H7" i="11" a="1"/>
  <c r="J7" i="11" l="1"/>
  <c r="H7" i="11"/>
  <c r="J6" i="11"/>
  <c r="H6" i="11"/>
  <c r="X8" i="11" a="1"/>
  <c r="X8" i="11" s="1"/>
  <c r="O8" i="11" a="1"/>
  <c r="O8" i="11" s="1"/>
  <c r="F8" i="11" a="1"/>
  <c r="F8" i="11" s="1"/>
  <c r="G17" i="33"/>
  <c r="F6" i="11" a="1"/>
  <c r="F7" i="11" a="1"/>
  <c r="F32" i="33" l="1"/>
  <c r="G32" i="33"/>
  <c r="H32" i="33"/>
  <c r="F7" i="11"/>
  <c r="O6" i="11" a="1"/>
  <c r="F6" i="11"/>
  <c r="S7" i="11" a="1"/>
  <c r="X6" i="11" a="1"/>
  <c r="AB7" i="11" a="1"/>
  <c r="AB6" i="11" a="1"/>
  <c r="Z7" i="11" a="1"/>
  <c r="Z6" i="11" a="1"/>
  <c r="X7" i="11" a="1"/>
  <c r="Q7" i="11" a="1"/>
  <c r="S6" i="11" a="1"/>
  <c r="Q6" i="11" l="1" a="1"/>
  <c r="Q6" i="11" s="1"/>
  <c r="O7" i="11" a="1"/>
  <c r="O7" i="11" s="1"/>
  <c r="S7" i="11"/>
  <c r="O6" i="11"/>
  <c r="Q7" i="11"/>
  <c r="AB7" i="11"/>
  <c r="Z7" i="11"/>
  <c r="X7" i="11"/>
  <c r="AB6" i="11"/>
  <c r="X6" i="11"/>
  <c r="S6" i="11"/>
  <c r="Z6" i="11"/>
  <c r="B287" i="5" l="1"/>
  <c r="B292" i="5" s="1"/>
  <c r="B286" i="5"/>
  <c r="B291" i="5" s="1"/>
  <c r="B285" i="5"/>
  <c r="B295" i="5" s="1"/>
  <c r="F13" i="1"/>
  <c r="D50" i="20" l="1"/>
  <c r="D49" i="20"/>
  <c r="D48" i="20"/>
  <c r="D7" i="20"/>
  <c r="D6" i="20"/>
  <c r="D5" i="20"/>
  <c r="D24" i="20"/>
  <c r="D22" i="20"/>
  <c r="D23" i="20"/>
  <c r="E13" i="1"/>
  <c r="Y6" i="11" s="1" a="1"/>
  <c r="B290" i="5"/>
  <c r="B296" i="5"/>
  <c r="B297" i="5"/>
  <c r="F33" i="1"/>
  <c r="AC8" i="11" a="1"/>
  <c r="AC7" i="11" a="1"/>
  <c r="AC7" i="11" l="1"/>
  <c r="Y6" i="11"/>
  <c r="AC8" i="11"/>
  <c r="G33" i="1"/>
  <c r="H33" i="1" l="1"/>
  <c r="M25" i="1" l="1"/>
  <c r="M27" i="1"/>
  <c r="M28" i="1"/>
  <c r="M26" i="1"/>
  <c r="M24" i="1"/>
  <c r="I33" i="1"/>
  <c r="N28" i="1" l="1"/>
  <c r="N26" i="1"/>
  <c r="N24" i="1"/>
  <c r="B142" i="5"/>
  <c r="B149" i="5" s="1"/>
  <c r="B141" i="5"/>
  <c r="B148" i="5" s="1"/>
  <c r="B140" i="5"/>
  <c r="B147" i="5" s="1"/>
  <c r="B207" i="5"/>
  <c r="B206" i="5"/>
  <c r="B205" i="5"/>
  <c r="D42" i="20" l="1"/>
  <c r="D41" i="20"/>
  <c r="D39" i="20"/>
  <c r="D40" i="20"/>
  <c r="D13" i="20"/>
  <c r="D14" i="20"/>
  <c r="D15" i="20"/>
  <c r="B210" i="5"/>
  <c r="B215" i="5" s="1"/>
  <c r="B248" i="5"/>
  <c r="B252" i="5" s="1"/>
  <c r="B257" i="5" s="1"/>
  <c r="B211" i="5"/>
  <c r="B216" i="5" s="1"/>
  <c r="B249" i="5"/>
  <c r="B253" i="5" s="1"/>
  <c r="B258" i="5" s="1"/>
  <c r="B209" i="5"/>
  <c r="B214" i="5" s="1"/>
  <c r="B247" i="5"/>
  <c r="B251" i="5" s="1"/>
  <c r="B256" i="5" s="1"/>
  <c r="F18" i="1"/>
  <c r="E9" i="1"/>
  <c r="D8" i="20"/>
  <c r="K8" i="11" a="1"/>
  <c r="K7" i="11" a="1"/>
  <c r="T8" i="11" a="1"/>
  <c r="T7" i="11" a="1"/>
  <c r="T6" i="11" a="1"/>
  <c r="K6" i="11" a="1"/>
  <c r="K7" i="11" l="1"/>
  <c r="K6" i="11"/>
  <c r="T8" i="11"/>
  <c r="T6" i="11"/>
  <c r="T7" i="11"/>
  <c r="K8" i="11"/>
  <c r="P6" i="11" l="1" a="1"/>
  <c r="P6" i="11" s="1"/>
  <c r="P7" i="11" a="1"/>
  <c r="P7" i="11" s="1"/>
  <c r="P8" i="11" a="1"/>
  <c r="P8" i="11" s="1"/>
  <c r="G6" i="11" l="1" a="1"/>
  <c r="G6" i="11" s="1"/>
  <c r="G13" i="1"/>
  <c r="G8" i="11" a="1"/>
  <c r="G7" i="11" a="1"/>
  <c r="H13" i="1" l="1"/>
  <c r="I13" i="1" s="1"/>
  <c r="D25" i="20"/>
  <c r="G7" i="11"/>
  <c r="G8" i="11"/>
  <c r="G11" i="1"/>
  <c r="D16" i="20" s="1"/>
  <c r="Y7" i="11" l="1" a="1"/>
  <c r="Y7" i="11" s="1"/>
  <c r="I18" i="1"/>
  <c r="N9" i="1" s="1"/>
  <c r="H11" i="1"/>
  <c r="G18" i="1"/>
  <c r="Y8" i="11" a="1"/>
  <c r="Y8" i="11" l="1"/>
  <c r="N11" i="1"/>
  <c r="N13" i="1"/>
  <c r="H18" i="1"/>
  <c r="N33" i="1" l="1"/>
  <c r="N18" i="1"/>
  <c r="M11" i="1"/>
  <c r="M9" i="1"/>
  <c r="M13" i="1"/>
  <c r="M33" i="1" l="1"/>
  <c r="M18" i="1"/>
  <c r="G31" i="20" a="1"/>
  <c r="G31" i="20" s="1"/>
  <c r="G33" i="20" a="1"/>
  <c r="G33" i="20" s="1"/>
  <c r="G34" i="20" a="1"/>
  <c r="G34" i="20" s="1"/>
  <c r="I32" i="20" l="1"/>
  <c r="I33" i="20"/>
  <c r="O27" i="32" s="1" a="1"/>
  <c r="O27" i="32" s="1"/>
  <c r="I34"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tc={8FC93EEB-A68A-45A9-9B92-68F987EEDFF8}</author>
  </authors>
  <commentList>
    <comment ref="W126" authorId="0" shapeId="0" xr:uid="{00000000-0006-0000-0900-000001000000}">
      <text>
        <t>[Trådet kommentar]
Din version af Excel lader dig læse denne trådede kommentar. Eventuelle ændringer vil dog blive fjernet, hvis filen åbnes i en nyere version af Excel. Få mere at vide: https://go.microsoft.com/fwlink/?linkid=870924
Kommentar:
    https://www.bygningsbevaring.dk/uploads/files/udstillingsplancher/Tegltage-2017_til_print.pdf</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<sst xmlns="http://schemas.openxmlformats.org/spreadsheetml/2006/main" count="1100" uniqueCount="454">
  <si>
    <t>Mursten</t>
  </si>
  <si>
    <t>Glass</t>
  </si>
  <si>
    <t>Material</t>
  </si>
  <si>
    <t>Element</t>
  </si>
  <si>
    <t>Unit</t>
  </si>
  <si>
    <t>m2</t>
  </si>
  <si>
    <t>ton</t>
  </si>
  <si>
    <t>Brick</t>
  </si>
  <si>
    <t>Wall</t>
  </si>
  <si>
    <t>Ceramic</t>
  </si>
  <si>
    <t>RoofTile</t>
  </si>
  <si>
    <t>m3</t>
  </si>
  <si>
    <t>2-glazing_curtainwall</t>
  </si>
  <si>
    <t>2-glazing_skylight</t>
  </si>
  <si>
    <t>2-glazing_window</t>
  </si>
  <si>
    <t>3-glazing_curtainwall</t>
  </si>
  <si>
    <t>3-glazing_skylight</t>
  </si>
  <si>
    <t>3-glazing_window</t>
  </si>
  <si>
    <t>Single-glazing_interiorwall</t>
  </si>
  <si>
    <t>Construction</t>
  </si>
  <si>
    <t>Materiale</t>
  </si>
  <si>
    <t>CO2</t>
  </si>
  <si>
    <t>Økonomi</t>
  </si>
  <si>
    <t>Stk</t>
  </si>
  <si>
    <t xml:space="preserve">CO2 </t>
  </si>
  <si>
    <t>Tykkelse (m)</t>
  </si>
  <si>
    <t>Total</t>
  </si>
  <si>
    <t>Glas</t>
  </si>
  <si>
    <t>Tegl</t>
  </si>
  <si>
    <t>Type</t>
  </si>
  <si>
    <t>Vingetegl</t>
  </si>
  <si>
    <t>Jord</t>
  </si>
  <si>
    <t xml:space="preserve">Produktion
[kgCO2eq/unit] </t>
  </si>
  <si>
    <t>End of Life 
[kgCO2eq/unit]</t>
  </si>
  <si>
    <t>Recovery 
[kgCO2eq/unit]</t>
  </si>
  <si>
    <t>Fokus</t>
  </si>
  <si>
    <t>Materialedatabase</t>
  </si>
  <si>
    <t>Nej</t>
  </si>
  <si>
    <t>Mursten knuses til ny funktion</t>
  </si>
  <si>
    <t>Metode</t>
  </si>
  <si>
    <t>Glas renses og cirkuleres til upcyling til nye klimaskærme gennem dobbeltkarmsvindue</t>
  </si>
  <si>
    <t>Glas knuses til ny funktion</t>
  </si>
  <si>
    <t>CO2 besparelse</t>
  </si>
  <si>
    <t>Muliggørelse</t>
  </si>
  <si>
    <t>%</t>
  </si>
  <si>
    <t>Input mængde</t>
  </si>
  <si>
    <t>Antagelser for vurdering af kaskadeniveau. Dette er baseret på Lendager Groups erfaring.</t>
  </si>
  <si>
    <t>Fra</t>
  </si>
  <si>
    <t>Til</t>
  </si>
  <si>
    <t>Nu</t>
  </si>
  <si>
    <t>Alder ift Kaskadeniveau</t>
  </si>
  <si>
    <t>nu</t>
  </si>
  <si>
    <t>Lag glas ift Kaskadeniveau</t>
  </si>
  <si>
    <t xml:space="preserve">PCB i </t>
  </si>
  <si>
    <t>Mængde</t>
  </si>
  <si>
    <t>Tekniske specifikationer</t>
  </si>
  <si>
    <t xml:space="preserve">Materialedatabasen skal opdateres løbende, for at sikre validiteten af værdierne. </t>
  </si>
  <si>
    <t>MATERIALEOUTPUT</t>
  </si>
  <si>
    <t>Det antages at 80 % af det totale areal er mursten og 20% er mørtel</t>
  </si>
  <si>
    <t>Det antages at der går 14 stk vingetegl til 1 m2</t>
  </si>
  <si>
    <t>Mørtel</t>
  </si>
  <si>
    <t>Genanvendelse af 2000 gamle mursten sparer miljøet for 1 ton CO2.</t>
  </si>
  <si>
    <t>Antal mursten pr m2</t>
  </si>
  <si>
    <t>Enhed</t>
  </si>
  <si>
    <t xml:space="preserve">Indlejret CO2 </t>
  </si>
  <si>
    <t>Vingetegl skæres i flere stykker til upcycling af bla. Som tung facade</t>
  </si>
  <si>
    <t>Vingetegl knuses til ny funktion</t>
  </si>
  <si>
    <t>Output</t>
  </si>
  <si>
    <t>Outputmængde</t>
  </si>
  <si>
    <t>Trælasten, idékatalog</t>
  </si>
  <si>
    <t>Baseret på at det bruges som tilslag</t>
  </si>
  <si>
    <t>kgCO2eq</t>
  </si>
  <si>
    <t>[kgCO2eq]</t>
  </si>
  <si>
    <t>Lendager UP Krone Vinduer</t>
  </si>
  <si>
    <t xml:space="preserve">Lendager UP Mursten </t>
  </si>
  <si>
    <t>Argumenter</t>
  </si>
  <si>
    <t>Dette ark dækker de argumenter der bruges til udregningingerne.</t>
  </si>
  <si>
    <t>Kaskadeniveau</t>
  </si>
  <si>
    <t>Potentiel CO2 besparelse</t>
  </si>
  <si>
    <t>CO2 besparelse omregnet til antal mennesker</t>
  </si>
  <si>
    <t>Reference</t>
  </si>
  <si>
    <t>Amount of CO2 emission per reference</t>
  </si>
  <si>
    <t>Average Dane anually</t>
  </si>
  <si>
    <t>kg CO2-eq/year/person</t>
  </si>
  <si>
    <t>Totalt svarer det til:</t>
  </si>
  <si>
    <t>Der blev brugt cement som mørtel fra</t>
  </si>
  <si>
    <t>Outputvurdering</t>
  </si>
  <si>
    <t>Ja</t>
  </si>
  <si>
    <t>GENERELT</t>
  </si>
  <si>
    <t>Sprog er på dansk</t>
  </si>
  <si>
    <t>Kan her ændres, så svarene kører på engelsk</t>
  </si>
  <si>
    <t>Innobyg - Materialeatlas</t>
  </si>
  <si>
    <t>https://www.innobyg.dk/media/75876/materialeatlas.pdf</t>
  </si>
  <si>
    <t>Er vingetegl nakkede?</t>
  </si>
  <si>
    <t>Straight forward</t>
  </si>
  <si>
    <t>Greb til cirkulering</t>
  </si>
  <si>
    <t>Beskrivelse</t>
  </si>
  <si>
    <t>Genbrug</t>
  </si>
  <si>
    <t>Upcycling</t>
  </si>
  <si>
    <t>Downcycling</t>
  </si>
  <si>
    <t>Genanvendelsesprocent</t>
  </si>
  <si>
    <t>% Materiales genanvendelse</t>
  </si>
  <si>
    <t>Kalk</t>
  </si>
  <si>
    <t>Mursten udskæres til modulblokke</t>
  </si>
  <si>
    <t>nej</t>
  </si>
  <si>
    <t>Asfalt</t>
  </si>
  <si>
    <t>% CO2 besparelse</t>
  </si>
  <si>
    <t>Retningslinjer</t>
  </si>
  <si>
    <t>Affaldsmængde pr indbygger</t>
  </si>
  <si>
    <t>kg</t>
  </si>
  <si>
    <t>Potentiel affaldsminimering</t>
  </si>
  <si>
    <t>Retningslinje</t>
  </si>
  <si>
    <t>Beskrivelse af greb</t>
  </si>
  <si>
    <t>Cirkuleringsgreb</t>
  </si>
  <si>
    <t>Hvornår er asfalten fra?</t>
  </si>
  <si>
    <t>Beton</t>
  </si>
  <si>
    <t>Er betonen armeret?</t>
  </si>
  <si>
    <t>Lineær</t>
  </si>
  <si>
    <t>DKK/m2</t>
  </si>
  <si>
    <t>Standard Nedrivning af mursten</t>
  </si>
  <si>
    <t>Lineær produktion af mursten</t>
  </si>
  <si>
    <t>NEDRIVNING</t>
  </si>
  <si>
    <t>Standard Nedrivning af glas, lejlighedsvindue</t>
  </si>
  <si>
    <t>Lineær produktion af glas</t>
  </si>
  <si>
    <t>Økonomi er udregnet på nedrivning/nedtagning af givent materiale, samt hvad det vil koste at opføre et nyt produkt af det givne materiale. Dette er illustreret nedenfor:</t>
  </si>
  <si>
    <t>INPUT</t>
  </si>
  <si>
    <t>OUTPUT</t>
  </si>
  <si>
    <t xml:space="preserve">De forskellige materialer er beregnet baseret på de forskellige greb til cirkulering. </t>
  </si>
  <si>
    <t>Udviklet januar 2020 af Lendager Group i samarbejde med MOE</t>
  </si>
  <si>
    <t>Følgende materialer er valgt til screeningsværktøjet</t>
  </si>
  <si>
    <t>Bygningsfornyelse</t>
  </si>
  <si>
    <t>Hvis der er benyttet kalk som mørtel vil det kunne gå til 1-1 genbrug</t>
  </si>
  <si>
    <t>MATERIALEINPUT</t>
  </si>
  <si>
    <t>Værktøj B</t>
  </si>
  <si>
    <t>Estimeret pris</t>
  </si>
  <si>
    <t xml:space="preserve">Det er vigtigt at sikre, at der i programmeringen bliver beskrevet, at der skal der skal laves en forundersøgelse på hvorvidt maling/puds er forurenet, samt mulighed for at rense. </t>
  </si>
  <si>
    <t xml:space="preserve">CO2 besparelse er projektafhængig og kan variere baseret på proces for nedtagning samt oparbejdning af materiale. </t>
  </si>
  <si>
    <t>Jord køres til deponi</t>
  </si>
  <si>
    <t>Genbrug på matriklen</t>
  </si>
  <si>
    <t>Deponi</t>
  </si>
  <si>
    <t>ja</t>
  </si>
  <si>
    <t>områdeklassificeret</t>
  </si>
  <si>
    <t xml:space="preserve">Jorden skal prøvetages, med henblik på forurening. </t>
  </si>
  <si>
    <t>Beton mursten</t>
  </si>
  <si>
    <t>Beton C30/37</t>
  </si>
  <si>
    <t>Lersten</t>
  </si>
  <si>
    <t>Naturstensplade</t>
  </si>
  <si>
    <t>Udendørsbrug</t>
  </si>
  <si>
    <t>Støbeasfalt</t>
  </si>
  <si>
    <t>Gravel 2/32 wet</t>
  </si>
  <si>
    <t>Gravel 2/32 dried</t>
  </si>
  <si>
    <t>Sand 0/2 undried</t>
  </si>
  <si>
    <t>Sand 0/2 dried</t>
  </si>
  <si>
    <t>Densitet [ton/m3]</t>
  </si>
  <si>
    <t>Disclaimers</t>
  </si>
  <si>
    <t xml:space="preserve">Jorden skal prøvetages, med henblik på forurening. Her kræves en paragraf 8 tilladelse,  </t>
  </si>
  <si>
    <t>V1/V2</t>
  </si>
  <si>
    <t>Ren jord</t>
  </si>
  <si>
    <t>Forurenet Jord</t>
  </si>
  <si>
    <t>Ingen prøvetagning</t>
  </si>
  <si>
    <t>Jorden skal prøvetages.</t>
  </si>
  <si>
    <t>Straigth forward</t>
  </si>
  <si>
    <t>Forurenet jord</t>
  </si>
  <si>
    <t xml:space="preserve">ØNSKE </t>
  </si>
  <si>
    <t>JA</t>
  </si>
  <si>
    <t>NEJ</t>
  </si>
  <si>
    <t>Der skal laves en paragraf 8 tilladelse, hvis der skal være en terrænforskel</t>
  </si>
  <si>
    <t xml:space="preserve">Det kræver en §19 tilladelse for at kunne bruge jord på matriklen. </t>
  </si>
  <si>
    <t xml:space="preserve">Det kræver en §19 + 8 tilladelse for at kunne bruge jord på matriklen. </t>
  </si>
  <si>
    <t>ØNSKE</t>
  </si>
  <si>
    <t>Korlægning</t>
  </si>
  <si>
    <t>Disclaimer</t>
  </si>
  <si>
    <t>Asfalt som erstatter stabilgrus skal perforereres, således at vandes føres nedad og ikke mod bygningers facader og fundamenter. 
I den forbindelse bør det undersøges, om grunden er forurenet efter Jordforureningsloven, fordi øget udvaskning på forurenet grund kan medføre øget forurening af grundvand.</t>
  </si>
  <si>
    <t>Mulig indeholdende miljøfarlige stoffer bør tjekkes først, hvis muligt at rense så kan det indgå på et højere kaskadeniveau</t>
  </si>
  <si>
    <t>Rent jord</t>
  </si>
  <si>
    <t>RENT JORD PROCES  OMRÅDEJA</t>
  </si>
  <si>
    <t>RENT JORD PROCES  OMRÅDEnej</t>
  </si>
  <si>
    <t>RENT JORDPROCES V1V2JA</t>
  </si>
  <si>
    <t>RENT JORDPROCES V1V2NEJ</t>
  </si>
  <si>
    <t>RENT JORDPROCES NEJJA</t>
  </si>
  <si>
    <t>RENT JORDPROCES NEJNEJ</t>
  </si>
  <si>
    <t>Forurenet jordPROCES NEJJA</t>
  </si>
  <si>
    <t>Forurenet jordPROCES NEJNEJ</t>
  </si>
  <si>
    <t>Forurenet jordPROCES V1V2JA</t>
  </si>
  <si>
    <t>Forurenet jordPROCES V1V2NEJ</t>
  </si>
  <si>
    <t>Forurenet jordPROCES OMRÅDEja</t>
  </si>
  <si>
    <t>Forurenet jordPROCES OMRÅDENEJ</t>
  </si>
  <si>
    <t>Ingen prøvetagningPROCES V1V2JA</t>
  </si>
  <si>
    <t>Ingen prøvetagningPROCES V1V2NEJ</t>
  </si>
  <si>
    <t>Ingen prøvetagningPROCES OMRÅDENEJ</t>
  </si>
  <si>
    <t>Ingen prøvetagningPROCES OMRÅDEja</t>
  </si>
  <si>
    <t>ingenprøvPROCES NEJJA</t>
  </si>
  <si>
    <t>ingenprøvPROCES NEJNEJ</t>
  </si>
  <si>
    <t>Pris pr enhed</t>
  </si>
  <si>
    <t>Cement</t>
  </si>
  <si>
    <t>Beskrivelse af nuværende stand</t>
  </si>
  <si>
    <t>Standard Nedrivning af vingetegl</t>
  </si>
  <si>
    <t>Innobygreference</t>
  </si>
  <si>
    <t>Lineær produktion af vingetegl</t>
  </si>
  <si>
    <t>Cirkulering - GENBRUG - produktion</t>
  </si>
  <si>
    <t>Molio</t>
  </si>
  <si>
    <t>Cirkulering - UPCYCLING- produktion</t>
  </si>
  <si>
    <t>Cirkulering - DOWNCYCLING - produktion</t>
  </si>
  <si>
    <t>Pris pr m2</t>
  </si>
  <si>
    <t>DKK/sten</t>
  </si>
  <si>
    <t>DKK/enhed</t>
  </si>
  <si>
    <t>-</t>
  </si>
  <si>
    <t>Andet</t>
  </si>
  <si>
    <t>Der er ikke under eller overstrygning</t>
  </si>
  <si>
    <t>Over og Understrygning</t>
  </si>
  <si>
    <t>Puds</t>
  </si>
  <si>
    <t>imellem 1950 og 1977</t>
  </si>
  <si>
    <t>Områdeklassificeret</t>
  </si>
  <si>
    <t>Før 1976</t>
  </si>
  <si>
    <t>Efter 1976</t>
  </si>
  <si>
    <t>synlig maling eller oliespild</t>
  </si>
  <si>
    <t>Hvilken type beton?</t>
  </si>
  <si>
    <t>Lineær produktion af belægning</t>
  </si>
  <si>
    <t>Belægning</t>
  </si>
  <si>
    <t>Fundament</t>
  </si>
  <si>
    <t>Difference pr m2</t>
  </si>
  <si>
    <t xml:space="preserve">Materialet skal kontrolleres for miljøfarlige stoffer før det kan renses. </t>
  </si>
  <si>
    <t>Er betonelementerne  beskadigede?</t>
  </si>
  <si>
    <t>Muligheden for at fjerne strygningen skal vurderes for at kunne kvalificere, hvilket cirkuleringsgreb, der skal anvendes.</t>
  </si>
  <si>
    <t>Er materialets overflade forurenet med fx maling eller oliespild?</t>
  </si>
  <si>
    <t xml:space="preserve">Opsummeret screeningsværktøj baseret på ovenstående inputs om materialet </t>
  </si>
  <si>
    <t>Output mængde for given cirkuleringsform</t>
  </si>
  <si>
    <t>BORTKØRSEL</t>
  </si>
  <si>
    <t xml:space="preserve">Standard Nedrivning </t>
  </si>
  <si>
    <t>Selektiv Nedrivning a</t>
  </si>
  <si>
    <t xml:space="preserve">Lineær produktion </t>
  </si>
  <si>
    <t xml:space="preserve">Selektiv Nedrivning </t>
  </si>
  <si>
    <t>Selektiv Nedrivning</t>
  </si>
  <si>
    <t>AFTAGNING AF ASFALT</t>
  </si>
  <si>
    <t>dkk/M2</t>
  </si>
  <si>
    <t>antaget tykkelse på 0,2m</t>
  </si>
  <si>
    <t>DKK/m3</t>
  </si>
  <si>
    <t>Opgravning af jord</t>
  </si>
  <si>
    <t>Klasse 0-1</t>
  </si>
  <si>
    <t>Klasse 2-3</t>
  </si>
  <si>
    <t>Klasse 4</t>
  </si>
  <si>
    <t>pris pr m3</t>
  </si>
  <si>
    <t xml:space="preserve">Der vurderes en stigning på 50% i omkostninger ved nedtagning. Denne vurdering er vejledende og projektspeficikt, da den er af bl.a. type puds på ydersiden. </t>
  </si>
  <si>
    <t>60%-80 stigning i nedrivningsomkostninger ved nænsom nedtagning. Dette er afhængig af hvorvidt det er muligt at vingetegl kan benyttes på samme tag, på den måde kan vingetegl blive på stilads og ikke skal tages ned. Dette vil mindske omkostningerne.</t>
  </si>
  <si>
    <t xml:space="preserve">Det vurderes at omkostningerne for nedtagning for downcycling er 5-10% højere end ved standard nedrivning, idet vingetegl ikke skal nænsomt håndteres. </t>
  </si>
  <si>
    <t>Selektiv Nedrivning af vingetegl, genbrug o upcycling</t>
  </si>
  <si>
    <t>Selektiv Nedrivning af vingetegl, downcycling</t>
  </si>
  <si>
    <t xml:space="preserve">Det vurderes at der vil være en stigning på 10-20% ved nænsom nedtagning. </t>
  </si>
  <si>
    <t xml:space="preserve">Det vurderes at omkostningerne for nedtagning for downcycling er 5-10% højere end ved standard nedrivning, idet glas ikke skal nænsomt håndteres. </t>
  </si>
  <si>
    <t>Selektiv Nedrivning af glas, genbrug + upcycling</t>
  </si>
  <si>
    <t>Selektiv Nedrivning af glas, downcycling</t>
  </si>
  <si>
    <t xml:space="preserve">Det vurderes at omkostningerne for nedtagning for downcycling er 5-10% højere end ved standard nedrivning, idet mursten ikke skal nænsomt håndteres. </t>
  </si>
  <si>
    <t>Selektiv Nedrivning af mursten, Downcycling</t>
  </si>
  <si>
    <t>Selektiv Nedrivning af mursten, Genbrug</t>
  </si>
  <si>
    <t>Selektiv Nedrivning af mursten, Upcycling</t>
  </si>
  <si>
    <t>Der vurderes en stigning på ~100% i omkostninger ved nedtagning. Denne vurdering er vejledende og projektspeficikt.</t>
  </si>
  <si>
    <t>Selektiv Nedrivning, downcycling</t>
  </si>
  <si>
    <t>Tekst til økonomi</t>
  </si>
  <si>
    <t>fundament genbrug</t>
  </si>
  <si>
    <t>Belægning genbrug</t>
  </si>
  <si>
    <t>Fundament upcycling</t>
  </si>
  <si>
    <t>Belægning upcyclng</t>
  </si>
  <si>
    <t>Fundament downcycling</t>
  </si>
  <si>
    <t>Belægning downcycling</t>
  </si>
  <si>
    <t xml:space="preserve">Det vurderes at der vil være en stigning på 40% ved nænsom aftagning af fundament. </t>
  </si>
  <si>
    <t xml:space="preserve">Det vurderes at der vil være en stigning på 10% ved nænsom aftagning af belægningen. </t>
  </si>
  <si>
    <t>Hvis der er prøvetaget + Ja til det kan blive på matrikel</t>
  </si>
  <si>
    <t>Hvis der er prøvetaget + Nej til det kan blive på matrikel</t>
  </si>
  <si>
    <t>Hvis der ikke er prøvetaget+ Ja til det kan blive på matrikel</t>
  </si>
  <si>
    <t>Hvis der ikke er prøvetaget+ Nej til det kan blive på matrikel</t>
  </si>
  <si>
    <t>Hvis der er prøvetaget + nej til det kan blive på matrikel</t>
  </si>
  <si>
    <t>Anvend scroll-down menu</t>
  </si>
  <si>
    <t xml:space="preserve">Angiv kort beskrivelse </t>
  </si>
  <si>
    <t xml:space="preserve">Hvordan vil du beskrive materialet? (Placering, stand, forekomst etc.)  </t>
  </si>
  <si>
    <t>Der er risiko for at beskadige materialet ved nedtagning, da cementmørtel kan være stærkere end selve vingeteglet.</t>
  </si>
  <si>
    <t xml:space="preserve">Forudsætning(er) for at materialet kan cirkuleres </t>
  </si>
  <si>
    <t xml:space="preserve">Metoden for cirkulering er afhængig af, hvilke energikrav, der stilles til klimaskærm. </t>
  </si>
  <si>
    <t>Ellers</t>
  </si>
  <si>
    <t>Baseret på materialets stand vurderes processen for cirkulering lige til.</t>
  </si>
  <si>
    <t>Beskrivelse af økonomi</t>
  </si>
  <si>
    <t>PRODUKT</t>
  </si>
  <si>
    <t>Dannebrogvindue, molio</t>
  </si>
  <si>
    <t>Perforering</t>
  </si>
  <si>
    <t>OPBEVARING?</t>
  </si>
  <si>
    <t xml:space="preserve">Alt afhængigt af oparbejdningsprocessen vil der være en økonomisk gevinst at hente ved anvendelsen af outputmaterialet - der helt eller delvist reducerer merudgiften ved nænsom nedtagning/optagning. </t>
  </si>
  <si>
    <t>Årstal</t>
  </si>
  <si>
    <t>Vingetegl renses, og benyttes 1:1</t>
  </si>
  <si>
    <t>Glas renses, og benyttes 1:1</t>
  </si>
  <si>
    <t>Mursten renses, og benyttes 1:1</t>
  </si>
  <si>
    <t>Materialet kan genbruges direkte, da kalk kan bankes af vingetegl.</t>
  </si>
  <si>
    <t>Det vurderes at der er PCB i forseglingslimen, hvilket betyder at det ikke er lovligt at genbruge glasset.</t>
  </si>
  <si>
    <t>Potentiel CO2 besparelse for given cirkuleringsgreb</t>
  </si>
  <si>
    <t>BYGNINGSFORNYELSE</t>
  </si>
  <si>
    <t>Antagelser</t>
  </si>
  <si>
    <t>Input for materiale</t>
  </si>
  <si>
    <t>Greb</t>
  </si>
  <si>
    <t>Procent</t>
  </si>
  <si>
    <t>Kilde</t>
  </si>
  <si>
    <t>Mængde affald pr dansker pr år</t>
  </si>
  <si>
    <t>Input</t>
  </si>
  <si>
    <t>Beskrivelse Økonomi</t>
  </si>
  <si>
    <t>Total potentiel kg CO2-eq besparelse</t>
  </si>
  <si>
    <t>Total potentiel affaldsminimering i kg</t>
  </si>
  <si>
    <t>POTENTIELLE BESPARELSER</t>
  </si>
  <si>
    <t>Byrum</t>
  </si>
  <si>
    <t>BYRUM</t>
  </si>
  <si>
    <t>Kan det fremtidige byrum designes, så asfaltbelægningen bliver liggende?</t>
  </si>
  <si>
    <t>Kan bevaring af asfalten indebære risiko for vandskade på en bygning?</t>
  </si>
  <si>
    <t>Lægger byrummets kommende funktion op til et stort behov for jord?</t>
  </si>
  <si>
    <t xml:space="preserve">Angiv årstal (AAAA) </t>
  </si>
  <si>
    <t>CO2 besparelse for anvendt greb</t>
  </si>
  <si>
    <t>Nedrivningsmetode</t>
  </si>
  <si>
    <t>Pris</t>
  </si>
  <si>
    <t>Innobyg ressource</t>
  </si>
  <si>
    <t>Estimering fra industrien</t>
  </si>
  <si>
    <t>Lendager</t>
  </si>
  <si>
    <t>Estimering ressourcerækker</t>
  </si>
  <si>
    <t>Grovt estimat</t>
  </si>
  <si>
    <t>Groft estimat</t>
  </si>
  <si>
    <t>Teknik og Miljøforvaltningen</t>
  </si>
  <si>
    <t>Lendager Group</t>
  </si>
  <si>
    <t>Antagelser for vurdering af CO2 besparelser for de forskellige kaskadeniveau. Dette er baseret på Lendager Groups erfaring.</t>
  </si>
  <si>
    <t>Potentielle Besparelser</t>
  </si>
  <si>
    <t>Note</t>
  </si>
  <si>
    <t>Indebærer risiko</t>
  </si>
  <si>
    <t xml:space="preserve">BEK nr. 1452 af 07/12/2015 Jordflytningsbekendtgørelsen. Miljø- og fødevareministeriet, 2015.  </t>
  </si>
  <si>
    <t>Vejledning i Håndtering af forurenet jord på Sjælland, udarbejdet 2001.</t>
  </si>
  <si>
    <t>Jordforureningsloven, Miljø- og fødevareministeriet 2017.</t>
  </si>
  <si>
    <t xml:space="preserve">Der kan være PCB i puds/maling, som skal vurderes med henblik på cirkulering. </t>
  </si>
  <si>
    <t>Er der udført prøvetagning af jorden og hvad er påvist?</t>
  </si>
  <si>
    <t>Indtast m</t>
  </si>
  <si>
    <t>Difference pr m3</t>
  </si>
  <si>
    <t xml:space="preserve"> (Hvis dybden ikke kendes, så antag en tykkelse på 0,5 m jf. jordforureningsloven</t>
  </si>
  <si>
    <t xml:space="preserve">Tykkelsen af asfalt i m. </t>
  </si>
  <si>
    <t>(Hvis tykkelsen ikke kendes, kan en tykkelse på 0,06 m antages)</t>
  </si>
  <si>
    <t>Tykkelsen af beton i m.</t>
  </si>
  <si>
    <t xml:space="preserve"> (Hvis tykkelsen ikke kendes, kan en tykkelse på 0,2 m antages)</t>
  </si>
  <si>
    <t xml:space="preserve">Dybde i m. </t>
  </si>
  <si>
    <t>MOE</t>
  </si>
  <si>
    <t>Indtast m2</t>
  </si>
  <si>
    <t xml:space="preserve">Indtast m2 </t>
  </si>
  <si>
    <t>Hvordan er grunden kortlagt?</t>
  </si>
  <si>
    <t>Idet asfalten er fra før 1976 skal muligt indhold af tjærestoffer undersøges før materialet cirkuleres.</t>
  </si>
  <si>
    <t>Includes transport within 5km, including disposal fee. Assumed thickness  is 60 mm</t>
  </si>
  <si>
    <t>Skriv her</t>
  </si>
  <si>
    <t>Areal</t>
  </si>
  <si>
    <t>Baggrund for potentiel CO2 besparelse</t>
  </si>
  <si>
    <t>Økonomi 
(difference fra standard nedrivning)</t>
  </si>
  <si>
    <t>Materialets potentielle genanvendelses-procent i nyt produkt</t>
  </si>
  <si>
    <t/>
  </si>
  <si>
    <t xml:space="preserve"> </t>
  </si>
  <si>
    <t xml:space="preserve">Det vurderes, at når jord køres på deponi, er dette et resultat af at jord er kraftigt forurenet. Derfor er der ekstra omkostninger i form af håndtering af forurenet jord. </t>
  </si>
  <si>
    <t xml:space="preserve">Jord bevares helt eller delvist på stedet alt efter behov og design. </t>
  </si>
  <si>
    <t>Antal danskeres årlige affaldsproduktion</t>
  </si>
  <si>
    <t>Anttal danskeres årlige CO2-udslip</t>
  </si>
  <si>
    <t>Antal danskeres årlige CO2-udslip</t>
  </si>
  <si>
    <t>Den totale besparelse fordelt ud på hvert materiale</t>
  </si>
  <si>
    <t xml:space="preserve">Betonelementer kan genbruges direkte som ny belægning </t>
  </si>
  <si>
    <t xml:space="preserve">Armeret </t>
  </si>
  <si>
    <t>Eftersom betonen er armeret kan det ikke bruges i støbning af nye fliser eller konstruktioner</t>
  </si>
  <si>
    <t>Beskadiget + belægning</t>
  </si>
  <si>
    <t>Eftersom betonen er beskadiget kan den ikke genbruges direkte som ny belægning</t>
  </si>
  <si>
    <t xml:space="preserve">Ingen synlig maling eller oliespild, ingen skader og ingen armering </t>
  </si>
  <si>
    <t>Baseret på materialets stand vurderes det at betonen kan genbruges direkte</t>
  </si>
  <si>
    <t xml:space="preserve">Hvis asfaltbelægningen bevares på stedet, vurderes det, at omkostningen ved bortkørsel undgås. </t>
  </si>
  <si>
    <t xml:space="preserve">Asfalten bliver liggende (bevares) eller genbruges direkte på stedet ved opvarmning, affræsning og genlægning.  </t>
  </si>
  <si>
    <t>Ej kortlagt</t>
  </si>
  <si>
    <t>Beskadiget + fundament</t>
  </si>
  <si>
    <t>Eftersom betonen er beskadiget kan den ikke genbruges direkte</t>
  </si>
  <si>
    <t xml:space="preserve">Betonelementer knuses og upcycles som groft tilslag i støbningen af ny konstruktion, gulv eller fliser. </t>
  </si>
  <si>
    <t>Lendager Group + SBI, 2019 - Livscyklusvurdering for cirkulære
løsninger med fokus på klimapåvirkning</t>
  </si>
  <si>
    <t>CO2 besparelse for de forskellige kaskadeniveauer</t>
  </si>
  <si>
    <t>Genanvendelse uden for matriklen</t>
  </si>
  <si>
    <t xml:space="preserve">Afhængigt af kategorisering afleveres jorden til genanvendelse hos enten KMC (kategori 2 og 3) eller en ekstern jordmodtager (kategori 0,1 og 4) </t>
  </si>
  <si>
    <t xml:space="preserve">Da området er V1/V2 kortlag skal jorden skal prøvetages med henblik på forurening. Her kræves en §8 tilladelse. Er jorden forurenet vil det kræve en §19 tilladelse for at kunne genbruge den på matriklen.  </t>
  </si>
  <si>
    <t xml:space="preserve">Da gårdhaven er områdeklassificeret skal jorden skal prøvetages med henblik på forurening. Her kræves en §8 tilladelse. Er jorden forurenet vil det kræve en §19 tilladelse for at kunne genbruge den på matriklen.  </t>
  </si>
  <si>
    <t xml:space="preserve">Jorden skal prøvetages med henblik på bestemmelse af forureningsomfang. </t>
  </si>
  <si>
    <t xml:space="preserve">Da det er angivet, at prøvetagning har vist "ren jord", vurderes det, at jorden kan genbruges/bevares på matriklen uden yderligere tilladelser. </t>
  </si>
  <si>
    <t xml:space="preserve">Jorden er ren, men den kommende gårdhaves funktion lægger ikke op til, jorden kan genanvendes på matriklen. Derfor bør den afleveres hos en jordmodtager, der kan genanvende materialet andetsteds. </t>
  </si>
  <si>
    <t xml:space="preserve">Idet jorden er forurenet kræver det en §19 tilladelse for at kunne bevare/genbruge jorden på matriklen. </t>
  </si>
  <si>
    <t xml:space="preserve">Den kommende gårdhaves funktion lægger ikke op til, jorden kan genanvendes på matriklen. Da jorden er forurenet skal den afleveres til genanvendelse afhængigt af klassificering. </t>
  </si>
  <si>
    <t xml:space="preserve">Da asfalten er lagt tidligere end 1976, skal den undersøges for indhold af tjærestoffer, før cirkuleringsgrebet kan kvalificeres yderligere. </t>
  </si>
  <si>
    <t xml:space="preserve">Det er angivet, at planen for genbrug af asfalten på matriklen ikke lægger op til en funktion, der kan udgøre en risiko for vandskade på området. </t>
  </si>
  <si>
    <t>Hvis asfalten skal erstatte stabilgrus i gårdhaven skal den perforeres, så vand føres nedad (og dermed ikke mod bygningens facader og fundament). 
I den forbindelse bør det undersøges, om grunden er forurenet efter Jordforureningsloven, da øget udvaskning på forurenet grund kan medføre øget forurening af grundvand.</t>
  </si>
  <si>
    <t xml:space="preserve">Genanvendelse uden for matriklen </t>
  </si>
  <si>
    <t>Aarhus Kommune</t>
  </si>
  <si>
    <t>Modtagelse af jord</t>
  </si>
  <si>
    <t>Klasse 2-3  - let olie forurenet</t>
  </si>
  <si>
    <t>Klasse 4 - tung olie forurenet</t>
  </si>
  <si>
    <t>Klasse 0-1 - ren jord</t>
  </si>
  <si>
    <t>DKK/t</t>
  </si>
  <si>
    <t>Densitet jord</t>
  </si>
  <si>
    <t>KMC takst</t>
  </si>
  <si>
    <t>t/m3</t>
  </si>
  <si>
    <t>https://jord.dk/portfolio-items/massefyldenpajord/</t>
  </si>
  <si>
    <t>jord.dk</t>
  </si>
  <si>
    <t>KMC Nordhavn</t>
  </si>
  <si>
    <t>https://www.kk.dk/kmc</t>
  </si>
  <si>
    <t>Snit Forurenet</t>
  </si>
  <si>
    <t>Snit alle</t>
  </si>
  <si>
    <t>Norrecco</t>
  </si>
  <si>
    <t>https://norrecco.dk/prisliste-sjaelland/</t>
  </si>
  <si>
    <t xml:space="preserve">Betonelementer knuses og anvendes som vejfyld, stabilgrus eller lignende. </t>
  </si>
  <si>
    <t xml:space="preserve">Asfalt køres bort, knuses og downcycles i ny funktion som fx belægning, vejfyld eller stabilgrus. </t>
  </si>
  <si>
    <t xml:space="preserve">Asfalten fræses af og genanvendes i nyt anlægsprojekt til slidelag. </t>
  </si>
  <si>
    <t xml:space="preserve">Differencen afspejler omkostningerne ved opgravning og bortskaffelse, der undgås ved at genbruge jorden på matriklen.  </t>
  </si>
  <si>
    <t xml:space="preserve">Ved genanvendelse af jord uden for matriklen anbefales de gængse metoder for jordprøvning, opgravning og bortskaffelse. Derfor vurderes det, at omkostninger ved denne proces ikke afviger fra normen. </t>
  </si>
  <si>
    <t xml:space="preserve">Det vurderes, at der vil være en stigning i nedrivningsomkostninger på 10% ved affræsning af asfaltbelægning til downcycling, da det stadigvæk skal sorteres og bortskaffes særskilt. </t>
  </si>
  <si>
    <t xml:space="preserve">Det vurderes, at der vil være en stigning i omkostninger på 20% ved nænsom affræsning af asfaltbelægning der skal genanvendes som ny belægning.  </t>
  </si>
  <si>
    <t>Pris pr. enhed</t>
  </si>
  <si>
    <t>Lendager Group + MOE</t>
  </si>
  <si>
    <t>http://www.truthstudio.com/content/CREEA_Global_Resource_Footprint_of_Nations.pdf</t>
  </si>
  <si>
    <t>https://www.dn.dk/vi-arbejder-for/baeredygtighed/affald/</t>
  </si>
  <si>
    <t>Discription</t>
  </si>
  <si>
    <t>Area</t>
  </si>
  <si>
    <t>Perimeter</t>
  </si>
  <si>
    <t>10 x 10</t>
  </si>
  <si>
    <t>m</t>
  </si>
  <si>
    <t>Floor height</t>
  </si>
  <si>
    <t xml:space="preserve">Area of external wall </t>
  </si>
  <si>
    <t>Assumptions</t>
  </si>
  <si>
    <t>Concrete amount: 30 m3 for floor slab (300 mm thick) + 46,56 m3 for walls (perimeter, 300 mm thick) = 76,56 m3 concrete per 100 m2 apartment = 183,7 ton (estimated based on the calculater at dansk mobilbeton http://danskmobilbeton.dk/betonberegnere/ )</t>
  </si>
  <si>
    <t>House</t>
  </si>
  <si>
    <t>Volume dirt 1 m3 per m2 house area</t>
  </si>
  <si>
    <t>20 m2 aspalt for driveway, 10 cm thickness</t>
  </si>
  <si>
    <t>Amount of materials reference house</t>
  </si>
  <si>
    <t>Windows</t>
  </si>
  <si>
    <t>Area of roof</t>
  </si>
  <si>
    <t>Brick Roof tiles</t>
  </si>
  <si>
    <t>Concrete</t>
  </si>
  <si>
    <t>Dirt</t>
  </si>
  <si>
    <t>Asphalt</t>
  </si>
  <si>
    <t>Reference house</t>
  </si>
  <si>
    <r>
      <rPr>
        <b/>
        <sz val="16"/>
        <color theme="1"/>
        <rFont val="Century Gothic"/>
        <family val="2"/>
      </rPr>
      <t>Comparison with reference house</t>
    </r>
    <r>
      <rPr>
        <b/>
        <sz val="10"/>
        <color theme="1"/>
        <rFont val="Century Gothic"/>
        <family val="2"/>
      </rPr>
      <t xml:space="preserve">
</t>
    </r>
    <r>
      <rPr>
        <b/>
        <sz val="12"/>
        <color theme="1"/>
        <rFont val="Century Gothic"/>
        <family val="2"/>
      </rPr>
      <t>// How many referencehouses can be made of the mapped materials</t>
    </r>
  </si>
  <si>
    <t>Density Dirt</t>
  </si>
  <si>
    <t>Density Asphalt</t>
  </si>
  <si>
    <t>Density concrete</t>
  </si>
  <si>
    <t>Window percentage of the facade = 30 %, thickness 0,01 m</t>
  </si>
  <si>
    <t>Area og brick roof 100% roof area, thicknes 0,02 m</t>
  </si>
  <si>
    <t>Percentage of brick cuts for brick wall = 80 %, thickness 0,1 m</t>
  </si>
  <si>
    <t>Density windows</t>
  </si>
  <si>
    <t>t/m2</t>
  </si>
  <si>
    <t>Density Brick</t>
  </si>
  <si>
    <t>Density brick roof tiles</t>
  </si>
  <si>
    <t>X</t>
  </si>
  <si>
    <t xml:space="preserve">Referencehuse </t>
  </si>
  <si>
    <t>Potentiel outputmængde</t>
  </si>
  <si>
    <t xml:space="preserve">Antal referenceboliger, den samlede outputmængde kan omsættes til </t>
  </si>
  <si>
    <t>Mængden af jord kan omsættes til</t>
  </si>
  <si>
    <t>Mængden af asfalt kan omsættes til</t>
  </si>
  <si>
    <t>Mængden af beton kan omsættes til</t>
  </si>
  <si>
    <t>BYRUM - VÆRKTØJ TIL MATERIALESCREENING</t>
  </si>
  <si>
    <t>Klik her</t>
  </si>
  <si>
    <t>Tast 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</si>
</sst>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 #,##0.00\ &quot;kr.&quot;_-;\-* #,##0.00\ &quot;kr.&quot;_-;_-* &quot;-&quot;??\ &quot;kr.&quot;_-;_-@_-"/>
    <numFmt numFmtId="164" formatCode="_ * #,##0.00_ ;_ * \-#,##0.00_ ;_ * &quot;-&quot;??_ ;_ @_ "/>
    <numFmt numFmtId="165" formatCode="0.0"/>
    <numFmt numFmtId="166" formatCode="0.0%"/>
    <numFmt numFmtId="167" formatCode="#,##0.00\ &quot;kr.&quot;"/>
    <numFmt numFmtId="168" formatCode="0.000"/>
  </numFmts>
  <fonts count="61" x14ac:knownFonts="1">
    <font>
      <sz val="11"/>
      <color theme="1"/>
      <name val="Calibri"/>
      <family val="2"/>
      <scheme val="minor"/>
    </font>
    <font>
      <sz val="11"/>
      <color theme="1"/>
      <name val="Calibri"/>
      <family val="2"/>
      <scheme val="minor"/>
    </font>
    <font>
      <sz val="10"/>
      <color theme="1"/>
      <name val="Century Gothic"/>
      <family val="2"/>
    </font>
    <font>
      <sz val="11"/>
      <color theme="1"/>
      <name val="Century Gothic"/>
      <family val="2"/>
    </font>
    <font>
      <b/>
      <sz val="10"/>
      <color theme="1"/>
      <name val="Century Gothic"/>
      <family val="2"/>
    </font>
    <font>
      <u/>
      <sz val="11"/>
      <color theme="10"/>
      <name val="Calibri"/>
      <family val="2"/>
      <scheme val="minor"/>
    </font>
    <font>
      <b/>
      <sz val="14"/>
      <color theme="1"/>
      <name val="Century Gothic"/>
      <family val="2"/>
    </font>
    <font>
      <b/>
      <sz val="11"/>
      <color theme="1"/>
      <name val="Century Gothic"/>
      <family val="2"/>
    </font>
    <font>
      <sz val="8"/>
      <name val="Calibri"/>
      <family val="2"/>
      <scheme val="minor"/>
    </font>
    <font>
      <sz val="11"/>
      <color rgb="FF000000"/>
      <name val="Century Gothic"/>
      <family val="2"/>
    </font>
    <font>
      <sz val="12"/>
      <color rgb="FF000000"/>
      <name val="Century Gothic"/>
      <family val="2"/>
    </font>
    <font>
      <sz val="10"/>
      <name val="Arial"/>
      <family val="2"/>
    </font>
    <font>
      <sz val="10"/>
      <color rgb="FF000000"/>
      <name val="Arial"/>
      <family val="2"/>
    </font>
    <font>
      <sz val="12"/>
      <name val="Times New Roman"/>
      <family val="1"/>
    </font>
    <font>
      <b/>
      <sz val="36"/>
      <color rgb="FF000C2E"/>
      <name val="Century Gothic"/>
      <family val="2"/>
    </font>
    <font>
      <sz val="11"/>
      <color rgb="FF000C2E"/>
      <name val="Century Gothic"/>
      <family val="2"/>
    </font>
    <font>
      <b/>
      <sz val="22"/>
      <color rgb="FF000C2E"/>
      <name val="Century Gothic"/>
      <family val="2"/>
    </font>
    <font>
      <sz val="48"/>
      <color rgb="FF000C2E"/>
      <name val="Century Gothic"/>
      <family val="2"/>
    </font>
    <font>
      <b/>
      <sz val="16"/>
      <color rgb="FF000C2E"/>
      <name val="Century Gothic"/>
      <family val="2"/>
    </font>
    <font>
      <b/>
      <sz val="14"/>
      <color rgb="FF000C2E"/>
      <name val="Century Gothic"/>
      <family val="2"/>
    </font>
    <font>
      <b/>
      <sz val="20"/>
      <color rgb="FF000C2E"/>
      <name val="Century Gothic"/>
      <family val="2"/>
    </font>
    <font>
      <sz val="12"/>
      <color rgb="FF000C2E"/>
      <name val="Century Gothic"/>
      <family val="2"/>
    </font>
    <font>
      <i/>
      <sz val="10"/>
      <color rgb="FF000C2E"/>
      <name val="Century Gothic"/>
      <family val="2"/>
    </font>
    <font>
      <sz val="20"/>
      <color rgb="FF000C2E"/>
      <name val="Century Gothic"/>
      <family val="2"/>
    </font>
    <font>
      <sz val="10"/>
      <color rgb="FF000C2E"/>
      <name val="Century Gothic"/>
      <family val="2"/>
    </font>
    <font>
      <sz val="14"/>
      <color rgb="FF000C2E"/>
      <name val="Century Gothic"/>
      <family val="2"/>
    </font>
    <font>
      <b/>
      <sz val="12"/>
      <color rgb="FF000C2E"/>
      <name val="Century Gothic"/>
      <family val="2"/>
    </font>
    <font>
      <b/>
      <sz val="11"/>
      <color rgb="FF000C2E"/>
      <name val="Century Gothic"/>
      <family val="2"/>
    </font>
    <font>
      <b/>
      <sz val="18"/>
      <color rgb="FF000C2E"/>
      <name val="Century Gothic"/>
      <family val="2"/>
    </font>
    <font>
      <sz val="36"/>
      <color rgb="FF000C2E"/>
      <name val="Century Gothic"/>
      <family val="2"/>
    </font>
    <font>
      <sz val="28"/>
      <color rgb="FF000C2E"/>
      <name val="Century Gothic"/>
      <family val="2"/>
    </font>
    <font>
      <sz val="16"/>
      <color rgb="FF000C2E"/>
      <name val="Century Gothic"/>
      <family val="2"/>
    </font>
    <font>
      <u/>
      <sz val="11"/>
      <color rgb="FF000C2E"/>
      <name val="Calibri"/>
      <family val="2"/>
      <scheme val="minor"/>
    </font>
    <font>
      <b/>
      <sz val="10"/>
      <color rgb="FF000C2E"/>
      <name val="Century Gothic"/>
      <family val="2"/>
    </font>
    <font>
      <sz val="18"/>
      <color rgb="FF000C2E"/>
      <name val="Century Gothic"/>
      <family val="2"/>
    </font>
    <font>
      <sz val="11"/>
      <color rgb="FF000C2E"/>
      <name val="Calibri"/>
      <family val="2"/>
    </font>
    <font>
      <sz val="26"/>
      <color rgb="FF000C2E"/>
      <name val="Century Gothic"/>
      <family val="2"/>
    </font>
    <font>
      <sz val="11"/>
      <color rgb="FF000C2E"/>
      <name val="Calibri"/>
      <family val="2"/>
      <scheme val="minor"/>
    </font>
    <font>
      <sz val="22"/>
      <color rgb="FF000C2E"/>
      <name val="Century Gothic"/>
      <family val="2"/>
    </font>
    <font>
      <b/>
      <sz val="7"/>
      <color rgb="FF000C2E"/>
      <name val="Century Gothic"/>
      <family val="2"/>
    </font>
    <font>
      <sz val="10"/>
      <color rgb="FF000C2E"/>
      <name val="Calibri"/>
      <family val="2"/>
      <scheme val="minor"/>
    </font>
    <font>
      <b/>
      <sz val="24"/>
      <color rgb="FF000C2E"/>
      <name val="Century Gothic"/>
      <family val="2"/>
    </font>
    <font>
      <b/>
      <sz val="14"/>
      <color theme="0"/>
      <name val="Century Gothic"/>
      <family val="2"/>
    </font>
    <font>
      <sz val="11"/>
      <color theme="0"/>
      <name val="Century Gothic"/>
      <family val="2"/>
    </font>
    <font>
      <b/>
      <sz val="12"/>
      <color theme="0"/>
      <name val="Century Gothic"/>
      <family val="2"/>
    </font>
    <font>
      <b/>
      <sz val="11"/>
      <color theme="0"/>
      <name val="Century Gothic"/>
      <family val="2"/>
    </font>
    <font>
      <b/>
      <i/>
      <sz val="11"/>
      <color rgb="FF000C2E"/>
      <name val="Century Gothic"/>
      <family val="2"/>
    </font>
    <font>
      <b/>
      <sz val="28"/>
      <color rgb="FF000C2E"/>
      <name val="Century Gothic"/>
      <family val="2"/>
    </font>
    <font>
      <b/>
      <sz val="10"/>
      <color theme="0"/>
      <name val="Century Gothic"/>
      <family val="2"/>
    </font>
    <font>
      <b/>
      <sz val="11"/>
      <color theme="0" tint="-4.9989318521683403E-2"/>
      <name val="Century Gothic"/>
      <family val="2"/>
    </font>
    <font>
      <b/>
      <sz val="12"/>
      <color theme="0" tint="-4.9989318521683403E-2"/>
      <name val="Century Gothic"/>
      <family val="2"/>
    </font>
    <font>
      <sz val="11"/>
      <name val="Century Gothic"/>
      <family val="2"/>
    </font>
    <font>
      <sz val="12"/>
      <color theme="0"/>
      <name val="Century Gothic"/>
      <family val="2"/>
    </font>
    <font>
      <b/>
      <sz val="16"/>
      <color theme="1"/>
      <name val="Century Gothic"/>
      <family val="2"/>
    </font>
    <font>
      <b/>
      <sz val="12"/>
      <color theme="1"/>
      <name val="Century Gothic"/>
      <family val="2"/>
    </font>
    <font>
      <sz val="10"/>
      <name val="Century Gothic"/>
      <family val="2"/>
    </font>
    <font>
      <sz val="10"/>
      <color rgb="FFFF0000"/>
      <name val="Century Gothic"/>
      <family val="2"/>
    </font>
    <font>
      <sz val="12"/>
      <color theme="1"/>
      <name val="Century Gothic"/>
      <family val="2"/>
    </font>
    <font>
      <b/>
      <sz val="28"/>
      <color theme="1"/>
      <name val="Century Gothic"/>
      <family val="2"/>
    </font>
    <font>
      <b/>
      <sz val="22"/>
      <color theme="1"/>
      <name val="Century Gothic"/>
      <family val="2"/>
    </font>
    <font>
      <b/>
      <sz val="26"/>
      <color theme="1"/>
      <name val="Century Gothic"/>
      <family val="2"/>
    </font>
  </fonts>
  <fills count="2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000C2E"/>
        <bgColor indexed="64"/>
      </patternFill>
    </fill>
    <fill>
      <patternFill patternType="solid">
        <fgColor rgb="FFB4C6E7"/>
        <bgColor indexed="64"/>
      </patternFill>
    </fill>
    <fill>
      <patternFill patternType="solid">
        <fgColor rgb="FFFFEDB8"/>
        <bgColor indexed="64"/>
      </patternFill>
    </fill>
    <fill>
      <patternFill patternType="solid">
        <fgColor rgb="FFDDEBD2"/>
        <bgColor indexed="64"/>
      </patternFill>
    </fill>
    <fill>
      <patternFill patternType="solid">
        <fgColor theme="4" tint="0.79998168889431442"/>
        <bgColor indexed="64"/>
      </patternFill>
    </fill>
    <fill>
      <patternFill patternType="solid">
        <fgColor rgb="FFDFE7F5"/>
        <bgColor indexed="64"/>
      </patternFill>
    </fill>
    <fill>
      <patternFill patternType="solid">
        <fgColor rgb="FFF5F9FD"/>
        <bgColor indexed="64"/>
      </patternFill>
    </fill>
    <fill>
      <patternFill patternType="solid">
        <fgColor rgb="FFF2F8EE"/>
        <bgColor indexed="64"/>
      </patternFill>
    </fill>
    <fill>
      <patternFill patternType="solid">
        <fgColor rgb="FFFFFBEF"/>
        <bgColor indexed="64"/>
      </patternFill>
    </fill>
    <fill>
      <patternFill patternType="solid">
        <fgColor rgb="FFF9F9F9"/>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5" tint="0.79998168889431442"/>
        <bgColor indexed="64"/>
      </patternFill>
    </fill>
  </fills>
  <borders count="40">
    <border>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style="thin">
        <color theme="2" tint="-0.249977111117893"/>
      </right>
      <top style="thin">
        <color theme="2" tint="-0.249977111117893"/>
      </top>
      <bottom/>
      <diagonal/>
    </border>
    <border>
      <left style="thin">
        <color theme="2" tint="-0.249977111117893"/>
      </left>
      <right/>
      <top/>
      <bottom style="thin">
        <color theme="2" tint="-0.249977111117893"/>
      </bottom>
      <diagonal/>
    </border>
    <border>
      <left/>
      <right style="thin">
        <color theme="2" tint="-0.249977111117893"/>
      </right>
      <top/>
      <bottom/>
      <diagonal/>
    </border>
    <border>
      <left style="thin">
        <color theme="2" tint="-0.249977111117893"/>
      </left>
      <right/>
      <top style="thin">
        <color theme="2" tint="-0.249977111117893"/>
      </top>
      <bottom/>
      <diagonal/>
    </border>
    <border>
      <left style="thin">
        <color theme="2" tint="-0.249977111117893"/>
      </left>
      <right/>
      <top/>
      <bottom/>
      <diagonal/>
    </border>
    <border>
      <left/>
      <right style="thin">
        <color theme="2" tint="-0.249977111117893"/>
      </right>
      <top/>
      <bottom style="thin">
        <color theme="2" tint="-0.249977111117893"/>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top style="thin">
        <color indexed="64"/>
      </top>
      <bottom style="thin">
        <color indexed="64"/>
      </bottom>
      <diagonal/>
    </border>
    <border>
      <left/>
      <right style="thin">
        <color theme="1"/>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8">
    <xf numFmtId="0" fontId="0" fillId="0" borderId="0"/>
    <xf numFmtId="9" fontId="1" fillId="0" borderId="0" applyFont="0" applyFill="0" applyBorder="0" applyAlignment="0" applyProtection="0"/>
    <xf numFmtId="0" fontId="5" fillId="0" borderId="0" applyNumberFormat="0" applyFill="0" applyBorder="0" applyAlignment="0" applyProtection="0"/>
    <xf numFmtId="44" fontId="1" fillId="0" borderId="0" applyFont="0" applyFill="0" applyBorder="0" applyAlignment="0" applyProtection="0"/>
    <xf numFmtId="0" fontId="12" fillId="0" borderId="0"/>
    <xf numFmtId="0" fontId="13" fillId="0" borderId="0"/>
    <xf numFmtId="0" fontId="13" fillId="0" borderId="0"/>
    <xf numFmtId="164" fontId="11" fillId="0" borderId="0" applyFont="0" applyFill="0" applyBorder="0" applyAlignment="0" applyProtection="0"/>
  </cellStyleXfs>
  <cellXfs count="620">
    <xf numFmtId="0" fontId="0" fillId="0" borderId="0" xfId="0"/>
    <xf numFmtId="0" fontId="3" fillId="0" borderId="0" xfId="0" applyFont="1"/>
    <xf numFmtId="0" fontId="3" fillId="0" borderId="0" xfId="0" applyFont="1" applyAlignment="1">
      <alignment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3" fillId="3" borderId="30" xfId="0" applyFont="1" applyFill="1" applyBorder="1" applyAlignment="1">
      <alignment vertical="top" wrapText="1"/>
    </xf>
    <xf numFmtId="0" fontId="15" fillId="2" borderId="0" xfId="0" applyFont="1" applyFill="1"/>
    <xf numFmtId="0" fontId="21" fillId="2" borderId="0" xfId="0" applyFont="1" applyFill="1" applyAlignment="1">
      <alignment horizontal="center" vertical="center"/>
    </xf>
    <xf numFmtId="0" fontId="23" fillId="2" borderId="0" xfId="0" applyFont="1" applyFill="1" applyAlignment="1">
      <alignment horizontal="center" vertical="center"/>
    </xf>
    <xf numFmtId="0" fontId="24" fillId="2" borderId="0" xfId="0" applyFont="1" applyFill="1" applyAlignment="1">
      <alignment horizontal="center" vertical="center"/>
    </xf>
    <xf numFmtId="0" fontId="15" fillId="2" borderId="0" xfId="0" applyFont="1" applyFill="1" applyAlignment="1">
      <alignment horizontal="center" vertical="center"/>
    </xf>
    <xf numFmtId="0" fontId="15" fillId="2" borderId="0" xfId="0" applyFont="1" applyFill="1" applyAlignment="1">
      <alignment horizontal="center" vertical="center" wrapText="1"/>
    </xf>
    <xf numFmtId="0" fontId="21" fillId="2" borderId="0" xfId="0" applyFont="1" applyFill="1" applyAlignment="1">
      <alignment horizontal="center" vertical="center" wrapText="1"/>
    </xf>
    <xf numFmtId="0" fontId="15" fillId="2" borderId="0" xfId="0" applyFont="1" applyFill="1" applyAlignment="1">
      <alignment wrapText="1"/>
    </xf>
    <xf numFmtId="0" fontId="15" fillId="2" borderId="0" xfId="0" applyFont="1" applyFill="1" applyAlignment="1">
      <alignment horizontal="left" vertical="center" wrapText="1"/>
    </xf>
    <xf numFmtId="0" fontId="17" fillId="2" borderId="0" xfId="0" applyFont="1" applyFill="1" applyAlignment="1">
      <alignment vertical="center" textRotation="90"/>
    </xf>
    <xf numFmtId="0" fontId="15" fillId="2" borderId="0" xfId="0" applyFont="1" applyFill="1" applyAlignment="1">
      <alignment horizontal="center"/>
    </xf>
    <xf numFmtId="0" fontId="15" fillId="2" borderId="0" xfId="0" applyFont="1" applyFill="1" applyAlignment="1">
      <alignment horizontal="right"/>
    </xf>
    <xf numFmtId="0" fontId="19" fillId="3" borderId="3" xfId="0" applyFont="1" applyFill="1" applyBorder="1" applyAlignment="1">
      <alignment horizontal="center" vertical="center"/>
    </xf>
    <xf numFmtId="0" fontId="19" fillId="3" borderId="5" xfId="0" applyFont="1" applyFill="1" applyBorder="1" applyAlignment="1">
      <alignment horizontal="center" vertical="center"/>
    </xf>
    <xf numFmtId="0" fontId="19" fillId="3" borderId="3"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19" fillId="3" borderId="5" xfId="0" applyFont="1" applyFill="1" applyBorder="1" applyAlignment="1">
      <alignment horizontal="center" vertical="center" wrapText="1"/>
    </xf>
    <xf numFmtId="0" fontId="15" fillId="2" borderId="6" xfId="0" applyFont="1" applyFill="1" applyBorder="1"/>
    <xf numFmtId="0" fontId="15" fillId="2" borderId="1" xfId="0" applyFont="1" applyFill="1" applyBorder="1"/>
    <xf numFmtId="0" fontId="20" fillId="3" borderId="27" xfId="0" applyFont="1" applyFill="1" applyBorder="1" applyAlignment="1">
      <alignment horizontal="center" vertical="center"/>
    </xf>
    <xf numFmtId="0" fontId="21" fillId="2" borderId="27" xfId="0" applyFont="1" applyFill="1" applyBorder="1" applyAlignment="1">
      <alignment horizontal="center" vertical="center" wrapText="1"/>
    </xf>
    <xf numFmtId="0" fontId="21" fillId="2" borderId="28" xfId="0" applyFont="1" applyFill="1" applyBorder="1" applyAlignment="1">
      <alignment horizontal="center" vertical="center"/>
    </xf>
    <xf numFmtId="0" fontId="21" fillId="2" borderId="24" xfId="0" applyFont="1" applyFill="1" applyBorder="1" applyAlignment="1">
      <alignment horizontal="center" vertical="center" wrapText="1"/>
    </xf>
    <xf numFmtId="0" fontId="21" fillId="2" borderId="28" xfId="0" applyFont="1" applyFill="1" applyBorder="1" applyAlignment="1">
      <alignment horizontal="center" vertical="center" wrapText="1"/>
    </xf>
    <xf numFmtId="1" fontId="21" fillId="2" borderId="28" xfId="0" applyNumberFormat="1" applyFont="1" applyFill="1" applyBorder="1" applyAlignment="1">
      <alignment horizontal="center" vertical="center"/>
    </xf>
    <xf numFmtId="167" fontId="21" fillId="2" borderId="27" xfId="3" applyNumberFormat="1" applyFont="1" applyFill="1" applyBorder="1" applyAlignment="1">
      <alignment horizontal="center" vertical="center"/>
    </xf>
    <xf numFmtId="0" fontId="20" fillId="2" borderId="6" xfId="0" applyFont="1" applyFill="1" applyBorder="1" applyAlignment="1">
      <alignment vertical="center"/>
    </xf>
    <xf numFmtId="0" fontId="20" fillId="2" borderId="1" xfId="0" applyFont="1" applyFill="1" applyBorder="1" applyAlignment="1">
      <alignment vertical="center"/>
    </xf>
    <xf numFmtId="0" fontId="20" fillId="2" borderId="0" xfId="0" applyFont="1" applyFill="1" applyAlignment="1">
      <alignment vertical="center"/>
    </xf>
    <xf numFmtId="1" fontId="21" fillId="2" borderId="28" xfId="0" applyNumberFormat="1" applyFont="1" applyFill="1" applyBorder="1" applyAlignment="1">
      <alignment horizontal="center" vertical="center" wrapText="1"/>
    </xf>
    <xf numFmtId="2" fontId="21" fillId="2" borderId="27" xfId="0" applyNumberFormat="1" applyFont="1" applyFill="1" applyBorder="1" applyAlignment="1">
      <alignment horizontal="center" vertical="center"/>
    </xf>
    <xf numFmtId="2" fontId="21" fillId="2" borderId="28" xfId="0" applyNumberFormat="1" applyFont="1" applyFill="1" applyBorder="1" applyAlignment="1">
      <alignment horizontal="center" vertical="center"/>
    </xf>
    <xf numFmtId="0" fontId="15" fillId="2" borderId="21" xfId="0" applyFont="1" applyFill="1" applyBorder="1"/>
    <xf numFmtId="0" fontId="15" fillId="2" borderId="7" xfId="0" applyFont="1" applyFill="1" applyBorder="1"/>
    <xf numFmtId="0" fontId="15" fillId="2" borderId="2" xfId="0" applyFont="1" applyFill="1" applyBorder="1"/>
    <xf numFmtId="1" fontId="15" fillId="2" borderId="8" xfId="0" applyNumberFormat="1" applyFont="1" applyFill="1" applyBorder="1" applyAlignment="1">
      <alignment horizontal="center"/>
    </xf>
    <xf numFmtId="1" fontId="15" fillId="2" borderId="7" xfId="0" applyNumberFormat="1" applyFont="1" applyFill="1" applyBorder="1" applyAlignment="1">
      <alignment horizontal="center"/>
    </xf>
    <xf numFmtId="1" fontId="15" fillId="2" borderId="0" xfId="0" applyNumberFormat="1" applyFont="1" applyFill="1"/>
    <xf numFmtId="0" fontId="21" fillId="2" borderId="34" xfId="0" applyFont="1" applyFill="1" applyBorder="1"/>
    <xf numFmtId="0" fontId="21" fillId="2" borderId="35" xfId="0" applyFont="1" applyFill="1" applyBorder="1"/>
    <xf numFmtId="0" fontId="21" fillId="2" borderId="36" xfId="0" applyFont="1" applyFill="1" applyBorder="1"/>
    <xf numFmtId="0" fontId="28" fillId="2" borderId="33" xfId="0" applyFont="1" applyFill="1" applyBorder="1" applyAlignment="1">
      <alignment vertical="center"/>
    </xf>
    <xf numFmtId="0" fontId="28" fillId="2" borderId="32" xfId="0" applyFont="1" applyFill="1" applyBorder="1" applyAlignment="1">
      <alignment vertical="center"/>
    </xf>
    <xf numFmtId="0" fontId="21" fillId="2" borderId="33" xfId="0" applyFont="1" applyFill="1" applyBorder="1"/>
    <xf numFmtId="0" fontId="21" fillId="2" borderId="0" xfId="0" applyFont="1" applyFill="1"/>
    <xf numFmtId="0" fontId="21" fillId="2" borderId="32" xfId="0" applyFont="1" applyFill="1" applyBorder="1"/>
    <xf numFmtId="0" fontId="15" fillId="2" borderId="33" xfId="0" applyFont="1" applyFill="1" applyBorder="1"/>
    <xf numFmtId="0" fontId="15" fillId="2" borderId="32" xfId="0" applyFont="1" applyFill="1" applyBorder="1"/>
    <xf numFmtId="0" fontId="21" fillId="2" borderId="0" xfId="0" applyFont="1" applyFill="1" applyAlignment="1">
      <alignment horizontal="center"/>
    </xf>
    <xf numFmtId="165" fontId="28" fillId="2" borderId="0" xfId="0" applyNumberFormat="1" applyFont="1" applyFill="1" applyAlignment="1">
      <alignment horizontal="center"/>
    </xf>
    <xf numFmtId="0" fontId="21" fillId="2" borderId="33" xfId="0" applyFont="1" applyFill="1" applyBorder="1" applyAlignment="1">
      <alignment horizontal="center" vertical="center"/>
    </xf>
    <xf numFmtId="0" fontId="21" fillId="2" borderId="32" xfId="0" applyFont="1" applyFill="1" applyBorder="1" applyAlignment="1">
      <alignment horizontal="center" vertical="center"/>
    </xf>
    <xf numFmtId="2" fontId="26" fillId="2" borderId="0" xfId="0" applyNumberFormat="1" applyFont="1" applyFill="1" applyAlignment="1">
      <alignment horizontal="center" vertical="center"/>
    </xf>
    <xf numFmtId="2" fontId="26" fillId="2" borderId="33" xfId="0" applyNumberFormat="1" applyFont="1" applyFill="1" applyBorder="1" applyAlignment="1">
      <alignment horizontal="center" vertical="center"/>
    </xf>
    <xf numFmtId="2" fontId="26" fillId="2" borderId="32" xfId="0" applyNumberFormat="1" applyFont="1" applyFill="1" applyBorder="1" applyAlignment="1">
      <alignment horizontal="center" vertical="center"/>
    </xf>
    <xf numFmtId="0" fontId="21" fillId="2" borderId="33" xfId="0" applyFont="1" applyFill="1" applyBorder="1" applyAlignment="1">
      <alignment horizontal="center"/>
    </xf>
    <xf numFmtId="0" fontId="21" fillId="2" borderId="32" xfId="0" applyFont="1" applyFill="1" applyBorder="1" applyAlignment="1">
      <alignment horizontal="center"/>
    </xf>
    <xf numFmtId="0" fontId="15" fillId="2" borderId="37" xfId="0" applyFont="1" applyFill="1" applyBorder="1"/>
    <xf numFmtId="0" fontId="15" fillId="2" borderId="38" xfId="0" applyFont="1" applyFill="1" applyBorder="1"/>
    <xf numFmtId="0" fontId="15" fillId="2" borderId="39" xfId="0" applyFont="1" applyFill="1" applyBorder="1"/>
    <xf numFmtId="2" fontId="15" fillId="2" borderId="0" xfId="0" applyNumberFormat="1" applyFont="1" applyFill="1"/>
    <xf numFmtId="0" fontId="15" fillId="2" borderId="0" xfId="0" applyFont="1" applyFill="1" applyAlignment="1">
      <alignment vertical="top" wrapText="1"/>
    </xf>
    <xf numFmtId="0" fontId="15" fillId="0" borderId="0" xfId="0" applyFont="1" applyAlignment="1">
      <alignment wrapText="1"/>
    </xf>
    <xf numFmtId="0" fontId="15" fillId="4" borderId="0" xfId="0" applyFont="1" applyFill="1" applyAlignment="1">
      <alignment vertical="top" wrapText="1"/>
    </xf>
    <xf numFmtId="0" fontId="15" fillId="4" borderId="0" xfId="0" applyFont="1" applyFill="1" applyAlignment="1">
      <alignment wrapText="1"/>
    </xf>
    <xf numFmtId="0" fontId="31" fillId="3" borderId="3" xfId="0" applyFont="1" applyFill="1" applyBorder="1" applyAlignment="1">
      <alignment vertical="top" wrapText="1"/>
    </xf>
    <xf numFmtId="0" fontId="15" fillId="2" borderId="4" xfId="0" applyFont="1" applyFill="1" applyBorder="1" applyAlignment="1">
      <alignment vertical="top" wrapText="1"/>
    </xf>
    <xf numFmtId="0" fontId="15" fillId="3" borderId="5" xfId="0" applyFont="1" applyFill="1" applyBorder="1" applyAlignment="1">
      <alignment vertical="top" wrapText="1"/>
    </xf>
    <xf numFmtId="0" fontId="15" fillId="3" borderId="6" xfId="0" applyFont="1" applyFill="1" applyBorder="1" applyAlignment="1">
      <alignment vertical="top" wrapText="1"/>
    </xf>
    <xf numFmtId="0" fontId="15" fillId="3" borderId="1" xfId="0" applyFont="1" applyFill="1" applyBorder="1" applyAlignment="1">
      <alignment vertical="top" wrapText="1"/>
    </xf>
    <xf numFmtId="0" fontId="15" fillId="3" borderId="7" xfId="0" applyFont="1" applyFill="1" applyBorder="1" applyAlignment="1">
      <alignment vertical="top" wrapText="1"/>
    </xf>
    <xf numFmtId="0" fontId="15" fillId="2" borderId="2" xfId="0" applyFont="1" applyFill="1" applyBorder="1" applyAlignment="1">
      <alignment vertical="top" wrapText="1"/>
    </xf>
    <xf numFmtId="0" fontId="15" fillId="3" borderId="8" xfId="0" applyFont="1" applyFill="1" applyBorder="1" applyAlignment="1">
      <alignment vertical="top" wrapText="1"/>
    </xf>
    <xf numFmtId="0" fontId="15" fillId="8" borderId="0" xfId="0" applyFont="1" applyFill="1" applyAlignment="1">
      <alignment vertical="top" wrapText="1"/>
    </xf>
    <xf numFmtId="0" fontId="15" fillId="8" borderId="0" xfId="0" applyFont="1" applyFill="1" applyAlignment="1">
      <alignment wrapText="1"/>
    </xf>
    <xf numFmtId="0" fontId="27" fillId="2" borderId="3" xfId="0" applyFont="1" applyFill="1" applyBorder="1" applyAlignment="1">
      <alignment vertical="top" wrapText="1"/>
    </xf>
    <xf numFmtId="0" fontId="15" fillId="2" borderId="6" xfId="0" applyFont="1" applyFill="1" applyBorder="1" applyAlignment="1">
      <alignment vertical="top" wrapText="1"/>
    </xf>
    <xf numFmtId="0" fontId="15" fillId="2" borderId="6" xfId="0" applyFont="1" applyFill="1" applyBorder="1" applyAlignment="1">
      <alignment horizontal="left" vertical="top" wrapText="1"/>
    </xf>
    <xf numFmtId="0" fontId="15" fillId="3" borderId="1" xfId="0" applyFont="1" applyFill="1" applyBorder="1" applyAlignment="1">
      <alignment horizontal="center" vertical="top" wrapText="1"/>
    </xf>
    <xf numFmtId="0" fontId="15" fillId="2" borderId="6" xfId="0" applyFont="1" applyFill="1" applyBorder="1" applyAlignment="1">
      <alignment horizontal="center" vertical="top" wrapText="1"/>
    </xf>
    <xf numFmtId="0" fontId="15" fillId="3" borderId="1" xfId="0" applyFont="1" applyFill="1" applyBorder="1" applyAlignment="1">
      <alignment horizontal="left" vertical="top" wrapText="1"/>
    </xf>
    <xf numFmtId="0" fontId="15" fillId="2" borderId="7" xfId="0" applyFont="1" applyFill="1" applyBorder="1" applyAlignment="1">
      <alignment vertical="top" wrapText="1"/>
    </xf>
    <xf numFmtId="0" fontId="26" fillId="2" borderId="3" xfId="0" applyFont="1" applyFill="1" applyBorder="1" applyAlignment="1">
      <alignment vertical="top" wrapText="1"/>
    </xf>
    <xf numFmtId="0" fontId="27" fillId="3" borderId="1" xfId="0" applyFont="1" applyFill="1" applyBorder="1" applyAlignment="1">
      <alignment vertical="top" wrapText="1"/>
    </xf>
    <xf numFmtId="0" fontId="15" fillId="0" borderId="6" xfId="0" applyFont="1" applyBorder="1" applyAlignment="1">
      <alignment vertical="top" wrapText="1"/>
    </xf>
    <xf numFmtId="0" fontId="27" fillId="3" borderId="1" xfId="0" applyFont="1" applyFill="1" applyBorder="1" applyAlignment="1">
      <alignment horizontal="left" vertical="top" wrapText="1"/>
    </xf>
    <xf numFmtId="0" fontId="19" fillId="2" borderId="0" xfId="0" applyFont="1" applyFill="1" applyAlignment="1">
      <alignment horizontal="center" vertical="center" wrapText="1"/>
    </xf>
    <xf numFmtId="0" fontId="15" fillId="2" borderId="0" xfId="0" applyFont="1" applyFill="1" applyAlignment="1">
      <alignment horizontal="center" wrapText="1"/>
    </xf>
    <xf numFmtId="0" fontId="15" fillId="5" borderId="0" xfId="0" applyFont="1" applyFill="1" applyAlignment="1">
      <alignment vertical="top" wrapText="1"/>
    </xf>
    <xf numFmtId="0" fontId="15" fillId="5" borderId="0" xfId="0" applyFont="1" applyFill="1" applyAlignment="1">
      <alignment wrapText="1"/>
    </xf>
    <xf numFmtId="0" fontId="15" fillId="3" borderId="3" xfId="0" applyFont="1" applyFill="1" applyBorder="1" applyAlignment="1">
      <alignment vertical="top" wrapText="1"/>
    </xf>
    <xf numFmtId="0" fontId="15" fillId="3" borderId="4" xfId="0" applyFont="1" applyFill="1" applyBorder="1" applyAlignment="1">
      <alignment wrapText="1"/>
    </xf>
    <xf numFmtId="0" fontId="15" fillId="3" borderId="5" xfId="0" applyFont="1" applyFill="1" applyBorder="1" applyAlignment="1">
      <alignment wrapText="1"/>
    </xf>
    <xf numFmtId="0" fontId="15" fillId="3" borderId="0" xfId="0" applyFont="1" applyFill="1" applyAlignment="1">
      <alignment vertical="top" wrapText="1"/>
    </xf>
    <xf numFmtId="0" fontId="15" fillId="3" borderId="0" xfId="0" applyFont="1" applyFill="1" applyAlignment="1">
      <alignment wrapText="1"/>
    </xf>
    <xf numFmtId="0" fontId="15" fillId="3" borderId="1" xfId="0" applyFont="1" applyFill="1" applyBorder="1" applyAlignment="1">
      <alignment wrapText="1"/>
    </xf>
    <xf numFmtId="0" fontId="15" fillId="3" borderId="2" xfId="0" applyFont="1" applyFill="1" applyBorder="1" applyAlignment="1">
      <alignment vertical="top" wrapText="1"/>
    </xf>
    <xf numFmtId="0" fontId="15" fillId="3" borderId="2" xfId="0" applyFont="1" applyFill="1" applyBorder="1" applyAlignment="1">
      <alignment wrapText="1"/>
    </xf>
    <xf numFmtId="0" fontId="15" fillId="3" borderId="8" xfId="0" applyFont="1" applyFill="1" applyBorder="1" applyAlignment="1">
      <alignment wrapText="1"/>
    </xf>
    <xf numFmtId="0" fontId="15" fillId="2" borderId="24" xfId="0" applyFont="1" applyFill="1" applyBorder="1" applyAlignment="1">
      <alignment wrapText="1"/>
    </xf>
    <xf numFmtId="0" fontId="15" fillId="2" borderId="3" xfId="0" applyFont="1" applyFill="1" applyBorder="1" applyAlignment="1">
      <alignment vertical="top" wrapText="1"/>
    </xf>
    <xf numFmtId="0" fontId="15" fillId="2" borderId="4" xfId="0" applyFont="1" applyFill="1" applyBorder="1" applyAlignment="1">
      <alignment wrapText="1"/>
    </xf>
    <xf numFmtId="0" fontId="15" fillId="2" borderId="5" xfId="0" applyFont="1" applyFill="1" applyBorder="1" applyAlignment="1">
      <alignment wrapText="1"/>
    </xf>
    <xf numFmtId="0" fontId="15" fillId="2" borderId="1" xfId="0" applyFont="1" applyFill="1" applyBorder="1" applyAlignment="1">
      <alignment wrapText="1"/>
    </xf>
    <xf numFmtId="0" fontId="15" fillId="2" borderId="2" xfId="0" applyFont="1" applyFill="1" applyBorder="1" applyAlignment="1">
      <alignment wrapText="1"/>
    </xf>
    <xf numFmtId="0" fontId="15" fillId="2" borderId="8" xfId="0" applyFont="1" applyFill="1" applyBorder="1" applyAlignment="1">
      <alignment wrapText="1"/>
    </xf>
    <xf numFmtId="0" fontId="15" fillId="2" borderId="24" xfId="0" applyFont="1" applyFill="1" applyBorder="1" applyAlignment="1">
      <alignment vertical="top" wrapText="1"/>
    </xf>
    <xf numFmtId="0" fontId="15" fillId="2" borderId="28" xfId="0" applyFont="1" applyFill="1" applyBorder="1" applyAlignment="1">
      <alignment wrapText="1"/>
    </xf>
    <xf numFmtId="0" fontId="15" fillId="3" borderId="6" xfId="0" applyFont="1" applyFill="1" applyBorder="1" applyAlignment="1">
      <alignment wrapText="1"/>
    </xf>
    <xf numFmtId="0" fontId="15" fillId="3" borderId="0" xfId="0" applyFont="1" applyFill="1" applyAlignment="1">
      <alignment horizontal="left" wrapText="1"/>
    </xf>
    <xf numFmtId="0" fontId="15" fillId="2" borderId="0" xfId="0" applyFont="1" applyFill="1" applyAlignment="1">
      <alignment horizontal="left" vertical="top" wrapText="1"/>
    </xf>
    <xf numFmtId="0" fontId="15" fillId="3" borderId="7" xfId="0" applyFont="1" applyFill="1" applyBorder="1" applyAlignment="1">
      <alignment wrapText="1"/>
    </xf>
    <xf numFmtId="9" fontId="15" fillId="2" borderId="0" xfId="1" applyFont="1" applyFill="1" applyAlignment="1">
      <alignment vertical="top" wrapText="1"/>
    </xf>
    <xf numFmtId="9" fontId="15" fillId="2" borderId="0" xfId="1" applyFont="1" applyFill="1" applyAlignment="1">
      <alignment wrapText="1"/>
    </xf>
    <xf numFmtId="0" fontId="26" fillId="2" borderId="0" xfId="0" applyFont="1" applyFill="1" applyAlignment="1">
      <alignment wrapText="1"/>
    </xf>
    <xf numFmtId="0" fontId="15" fillId="3" borderId="30" xfId="0" applyFont="1" applyFill="1" applyBorder="1" applyAlignment="1">
      <alignment vertical="top" wrapText="1"/>
    </xf>
    <xf numFmtId="0" fontId="15" fillId="3" borderId="30" xfId="0" applyFont="1" applyFill="1" applyBorder="1" applyAlignment="1">
      <alignment wrapText="1"/>
    </xf>
    <xf numFmtId="9" fontId="15" fillId="3" borderId="30" xfId="1" applyFont="1" applyFill="1" applyBorder="1" applyAlignment="1">
      <alignment vertical="top" wrapText="1"/>
    </xf>
    <xf numFmtId="0" fontId="15" fillId="2" borderId="30" xfId="0" applyFont="1" applyFill="1" applyBorder="1" applyAlignment="1">
      <alignment vertical="top" wrapText="1"/>
    </xf>
    <xf numFmtId="0" fontId="15" fillId="2" borderId="30" xfId="0" applyFont="1" applyFill="1" applyBorder="1" applyAlignment="1">
      <alignment wrapText="1"/>
    </xf>
    <xf numFmtId="9" fontId="15" fillId="2" borderId="30" xfId="1" applyFont="1" applyFill="1" applyBorder="1" applyAlignment="1">
      <alignment vertical="top" wrapText="1"/>
    </xf>
    <xf numFmtId="0" fontId="15" fillId="2" borderId="31" xfId="0" applyFont="1" applyFill="1" applyBorder="1" applyAlignment="1">
      <alignment vertical="top" wrapText="1"/>
    </xf>
    <xf numFmtId="0" fontId="15" fillId="2" borderId="31" xfId="0" applyFont="1" applyFill="1" applyBorder="1" applyAlignment="1">
      <alignment wrapText="1"/>
    </xf>
    <xf numFmtId="0" fontId="36" fillId="7" borderId="0" xfId="0" applyFont="1" applyFill="1" applyAlignment="1">
      <alignment vertical="top" wrapText="1"/>
    </xf>
    <xf numFmtId="0" fontId="15" fillId="7" borderId="0" xfId="0" applyFont="1" applyFill="1" applyAlignment="1">
      <alignment vertical="top" wrapText="1"/>
    </xf>
    <xf numFmtId="0" fontId="15" fillId="7" borderId="0" xfId="0" applyFont="1" applyFill="1" applyAlignment="1">
      <alignment wrapText="1"/>
    </xf>
    <xf numFmtId="0" fontId="21" fillId="7" borderId="0" xfId="0" applyFont="1" applyFill="1" applyAlignment="1">
      <alignment vertical="top" wrapText="1"/>
    </xf>
    <xf numFmtId="0" fontId="15" fillId="0" borderId="0" xfId="0" applyFont="1" applyAlignment="1">
      <alignment vertical="top" wrapText="1"/>
    </xf>
    <xf numFmtId="44" fontId="15" fillId="0" borderId="0" xfId="3" applyFont="1" applyAlignment="1">
      <alignment vertical="top" wrapText="1"/>
    </xf>
    <xf numFmtId="0" fontId="31" fillId="2" borderId="0" xfId="0" applyFont="1" applyFill="1" applyAlignment="1">
      <alignment horizontal="center"/>
    </xf>
    <xf numFmtId="0" fontId="15" fillId="2" borderId="19" xfId="0" applyFont="1" applyFill="1" applyBorder="1" applyAlignment="1">
      <alignment horizontal="center"/>
    </xf>
    <xf numFmtId="0" fontId="15" fillId="2" borderId="20" xfId="0" applyFont="1" applyFill="1" applyBorder="1" applyAlignment="1">
      <alignment horizontal="center"/>
    </xf>
    <xf numFmtId="0" fontId="31" fillId="2" borderId="0" xfId="0" applyFont="1" applyFill="1" applyAlignment="1">
      <alignment horizontal="left"/>
    </xf>
    <xf numFmtId="0" fontId="31" fillId="2" borderId="0" xfId="0" applyFont="1" applyFill="1" applyAlignment="1">
      <alignment horizontal="center" vertical="center"/>
    </xf>
    <xf numFmtId="0" fontId="15" fillId="2" borderId="19" xfId="0" applyFont="1" applyFill="1" applyBorder="1" applyAlignment="1">
      <alignment vertical="center" wrapText="1"/>
    </xf>
    <xf numFmtId="165" fontId="15" fillId="2" borderId="0" xfId="0" applyNumberFormat="1" applyFont="1" applyFill="1" applyAlignment="1">
      <alignment horizontal="center" vertical="center"/>
    </xf>
    <xf numFmtId="9" fontId="15" fillId="2" borderId="0" xfId="1" applyFont="1" applyFill="1" applyBorder="1" applyAlignment="1">
      <alignment horizontal="center" vertical="center"/>
    </xf>
    <xf numFmtId="9" fontId="15" fillId="2" borderId="0" xfId="1" applyFont="1" applyFill="1" applyBorder="1" applyAlignment="1">
      <alignment horizontal="center" vertical="center" wrapText="1"/>
    </xf>
    <xf numFmtId="0" fontId="15" fillId="2" borderId="0" xfId="1" applyNumberFormat="1" applyFont="1" applyFill="1" applyBorder="1" applyAlignment="1">
      <alignment horizontal="center" vertical="center"/>
    </xf>
    <xf numFmtId="0" fontId="15" fillId="2" borderId="20" xfId="0" applyFont="1" applyFill="1" applyBorder="1" applyAlignment="1">
      <alignment horizontal="center" vertical="center"/>
    </xf>
    <xf numFmtId="0" fontId="15" fillId="2" borderId="19" xfId="0" applyFont="1" applyFill="1" applyBorder="1" applyAlignment="1">
      <alignment horizontal="left" vertical="center" wrapText="1"/>
    </xf>
    <xf numFmtId="0" fontId="15" fillId="2" borderId="21" xfId="0" applyFont="1" applyFill="1" applyBorder="1" applyAlignment="1">
      <alignment vertical="center" wrapText="1"/>
    </xf>
    <xf numFmtId="0" fontId="15" fillId="2" borderId="22" xfId="0" applyFont="1" applyFill="1" applyBorder="1" applyAlignment="1">
      <alignment horizontal="center" vertical="center"/>
    </xf>
    <xf numFmtId="0" fontId="15" fillId="2" borderId="21" xfId="0" applyFont="1" applyFill="1" applyBorder="1" applyAlignment="1">
      <alignment horizontal="left" vertical="center" wrapText="1"/>
    </xf>
    <xf numFmtId="165" fontId="15" fillId="2" borderId="22" xfId="0" applyNumberFormat="1" applyFont="1" applyFill="1" applyBorder="1" applyAlignment="1">
      <alignment horizontal="center" vertical="center"/>
    </xf>
    <xf numFmtId="0" fontId="15" fillId="2" borderId="22" xfId="1" applyNumberFormat="1" applyFont="1" applyFill="1" applyBorder="1" applyAlignment="1">
      <alignment horizontal="center" vertical="center"/>
    </xf>
    <xf numFmtId="9" fontId="15" fillId="2" borderId="2" xfId="1" applyFont="1" applyFill="1" applyBorder="1" applyAlignment="1">
      <alignment horizontal="center" vertical="center" wrapText="1"/>
    </xf>
    <xf numFmtId="0" fontId="15" fillId="2" borderId="23" xfId="0" applyFont="1" applyFill="1" applyBorder="1" applyAlignment="1">
      <alignment horizontal="center" vertical="center"/>
    </xf>
    <xf numFmtId="0" fontId="15" fillId="2" borderId="2" xfId="1" applyNumberFormat="1" applyFont="1" applyFill="1" applyBorder="1" applyAlignment="1">
      <alignment horizontal="center" vertical="center"/>
    </xf>
    <xf numFmtId="165" fontId="25" fillId="2" borderId="17" xfId="0" applyNumberFormat="1" applyFont="1" applyFill="1" applyBorder="1" applyAlignment="1">
      <alignment horizontal="center" vertical="center"/>
    </xf>
    <xf numFmtId="2"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15" fillId="2" borderId="1" xfId="0" applyFont="1" applyFill="1" applyBorder="1" applyAlignment="1">
      <alignment horizontal="center"/>
    </xf>
    <xf numFmtId="0" fontId="21" fillId="2" borderId="0" xfId="0" applyFont="1" applyFill="1" applyAlignment="1">
      <alignment vertical="center" wrapText="1"/>
    </xf>
    <xf numFmtId="0" fontId="15" fillId="2" borderId="6" xfId="0" applyFont="1" applyFill="1" applyBorder="1" applyAlignment="1">
      <alignment horizontal="center" vertical="center" wrapText="1"/>
    </xf>
    <xf numFmtId="0" fontId="15" fillId="2" borderId="1" xfId="0" applyFont="1" applyFill="1" applyBorder="1" applyAlignment="1">
      <alignment horizontal="center" vertical="center"/>
    </xf>
    <xf numFmtId="0" fontId="31" fillId="2" borderId="6" xfId="0" applyFont="1" applyFill="1" applyBorder="1" applyAlignment="1">
      <alignment horizontal="center" vertical="center"/>
    </xf>
    <xf numFmtId="0" fontId="15" fillId="2" borderId="0" xfId="0" applyFont="1" applyFill="1" applyAlignment="1">
      <alignment vertical="center" wrapText="1"/>
    </xf>
    <xf numFmtId="0" fontId="21" fillId="2" borderId="0" xfId="0" applyFont="1" applyFill="1" applyAlignment="1">
      <alignment vertical="center"/>
    </xf>
    <xf numFmtId="0" fontId="15" fillId="2" borderId="22" xfId="0" applyFont="1" applyFill="1" applyBorder="1" applyAlignment="1">
      <alignment horizontal="center" vertical="center" wrapText="1"/>
    </xf>
    <xf numFmtId="0" fontId="15" fillId="2" borderId="2" xfId="0" applyFont="1" applyFill="1" applyBorder="1" applyAlignment="1">
      <alignment horizontal="center" vertical="center" wrapText="1"/>
    </xf>
    <xf numFmtId="165" fontId="15" fillId="2" borderId="2" xfId="0" applyNumberFormat="1" applyFont="1" applyFill="1" applyBorder="1" applyAlignment="1">
      <alignment horizontal="center" vertical="center"/>
    </xf>
    <xf numFmtId="9" fontId="15" fillId="2" borderId="2" xfId="1" applyFont="1" applyFill="1" applyBorder="1" applyAlignment="1">
      <alignment horizontal="center" vertical="center"/>
    </xf>
    <xf numFmtId="0" fontId="15" fillId="2" borderId="25" xfId="0" applyFont="1" applyFill="1" applyBorder="1" applyAlignment="1">
      <alignment horizontal="center" vertical="center"/>
    </xf>
    <xf numFmtId="0" fontId="15" fillId="2" borderId="7" xfId="0" applyFont="1" applyFill="1" applyBorder="1" applyAlignment="1">
      <alignment horizontal="center" vertical="center" wrapText="1"/>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xf>
    <xf numFmtId="0" fontId="15" fillId="2" borderId="8" xfId="0" applyFont="1" applyFill="1" applyBorder="1" applyAlignment="1">
      <alignment horizontal="center" vertical="center"/>
    </xf>
    <xf numFmtId="0" fontId="31" fillId="2" borderId="7" xfId="0" applyFont="1" applyFill="1" applyBorder="1" applyAlignment="1">
      <alignment horizontal="center" vertical="center"/>
    </xf>
    <xf numFmtId="0" fontId="15" fillId="2" borderId="2" xfId="0" applyFont="1" applyFill="1" applyBorder="1" applyAlignment="1">
      <alignment vertical="center" wrapText="1"/>
    </xf>
    <xf numFmtId="0" fontId="15" fillId="0" borderId="0" xfId="0" applyFont="1"/>
    <xf numFmtId="0" fontId="33" fillId="2" borderId="0" xfId="0" applyFont="1" applyFill="1" applyAlignment="1">
      <alignment vertical="center" wrapText="1"/>
    </xf>
    <xf numFmtId="0" fontId="33" fillId="2" borderId="0" xfId="0" applyFont="1" applyFill="1" applyAlignment="1">
      <alignment vertical="center"/>
    </xf>
    <xf numFmtId="165" fontId="24" fillId="2" borderId="0" xfId="0" applyNumberFormat="1" applyFont="1" applyFill="1" applyAlignment="1">
      <alignment horizontal="center" vertical="center"/>
    </xf>
    <xf numFmtId="2" fontId="15" fillId="2" borderId="0" xfId="0" applyNumberFormat="1" applyFont="1" applyFill="1" applyAlignment="1">
      <alignment horizontal="center" vertical="center"/>
    </xf>
    <xf numFmtId="9" fontId="15" fillId="2" borderId="0" xfId="1" applyFont="1" applyFill="1"/>
    <xf numFmtId="165" fontId="24" fillId="2" borderId="0" xfId="0" applyNumberFormat="1" applyFont="1" applyFill="1" applyAlignment="1">
      <alignment horizontal="center" vertical="center" wrapText="1"/>
    </xf>
    <xf numFmtId="2" fontId="24" fillId="2" borderId="1" xfId="0" applyNumberFormat="1" applyFont="1" applyFill="1" applyBorder="1" applyAlignment="1">
      <alignment horizontal="center" vertical="center" wrapText="1"/>
    </xf>
    <xf numFmtId="0" fontId="24" fillId="2" borderId="0" xfId="0" applyFont="1" applyFill="1" applyAlignment="1">
      <alignment vertical="center"/>
    </xf>
    <xf numFmtId="2" fontId="24" fillId="2" borderId="0" xfId="0" applyNumberFormat="1" applyFont="1" applyFill="1" applyAlignment="1">
      <alignment horizontal="right" vertical="center" wrapText="1"/>
    </xf>
    <xf numFmtId="166" fontId="15" fillId="2" borderId="0" xfId="1" applyNumberFormat="1" applyFont="1" applyFill="1"/>
    <xf numFmtId="9" fontId="15" fillId="2" borderId="0" xfId="0" applyNumberFormat="1" applyFont="1" applyFill="1"/>
    <xf numFmtId="165" fontId="15" fillId="2" borderId="0" xfId="0" applyNumberFormat="1" applyFont="1" applyFill="1"/>
    <xf numFmtId="0" fontId="15" fillId="2" borderId="9" xfId="0" applyFont="1" applyFill="1" applyBorder="1"/>
    <xf numFmtId="165" fontId="15" fillId="2" borderId="9" xfId="0" applyNumberFormat="1" applyFont="1" applyFill="1" applyBorder="1"/>
    <xf numFmtId="9" fontId="15" fillId="2" borderId="9" xfId="0" applyNumberFormat="1" applyFont="1" applyFill="1" applyBorder="1"/>
    <xf numFmtId="0" fontId="15" fillId="2" borderId="0" xfId="1" applyNumberFormat="1" applyFont="1" applyFill="1"/>
    <xf numFmtId="165" fontId="15" fillId="2" borderId="0" xfId="1" applyNumberFormat="1" applyFont="1" applyFill="1" applyBorder="1"/>
    <xf numFmtId="165" fontId="15" fillId="2" borderId="0" xfId="1" applyNumberFormat="1" applyFont="1" applyFill="1"/>
    <xf numFmtId="0" fontId="37" fillId="2" borderId="0" xfId="0" applyFont="1" applyFill="1"/>
    <xf numFmtId="0" fontId="24" fillId="2" borderId="0" xfId="0" applyFont="1" applyFill="1"/>
    <xf numFmtId="165" fontId="24" fillId="2" borderId="0" xfId="0" applyNumberFormat="1" applyFont="1" applyFill="1" applyAlignment="1">
      <alignment horizontal="right" vertical="center" wrapText="1"/>
    </xf>
    <xf numFmtId="0" fontId="39" fillId="2" borderId="0" xfId="0" applyFont="1" applyFill="1" applyAlignment="1">
      <alignment vertical="center" wrapText="1"/>
    </xf>
    <xf numFmtId="0" fontId="39" fillId="2" borderId="0" xfId="0" applyFont="1" applyFill="1"/>
    <xf numFmtId="2" fontId="39" fillId="2" borderId="0" xfId="0" applyNumberFormat="1" applyFont="1" applyFill="1"/>
    <xf numFmtId="0" fontId="24" fillId="2" borderId="4" xfId="0" applyFont="1" applyFill="1" applyBorder="1"/>
    <xf numFmtId="0" fontId="15" fillId="2" borderId="4" xfId="0" applyFont="1" applyFill="1" applyBorder="1"/>
    <xf numFmtId="165" fontId="15" fillId="2" borderId="4" xfId="0" applyNumberFormat="1" applyFont="1" applyFill="1" applyBorder="1"/>
    <xf numFmtId="0" fontId="15" fillId="2" borderId="5" xfId="0" applyFont="1" applyFill="1" applyBorder="1"/>
    <xf numFmtId="165" fontId="24" fillId="2" borderId="0" xfId="0" applyNumberFormat="1" applyFont="1" applyFill="1"/>
    <xf numFmtId="0" fontId="33" fillId="2" borderId="0" xfId="0" applyFont="1" applyFill="1"/>
    <xf numFmtId="0" fontId="24" fillId="2" borderId="1" xfId="0" applyFont="1" applyFill="1" applyBorder="1"/>
    <xf numFmtId="2" fontId="24" fillId="2" borderId="0" xfId="0" applyNumberFormat="1" applyFont="1" applyFill="1"/>
    <xf numFmtId="9" fontId="37" fillId="2" borderId="0" xfId="1" applyFont="1" applyFill="1"/>
    <xf numFmtId="0" fontId="24" fillId="2" borderId="6" xfId="0" applyFont="1" applyFill="1" applyBorder="1"/>
    <xf numFmtId="2" fontId="24" fillId="2" borderId="0" xfId="0" applyNumberFormat="1" applyFont="1" applyFill="1" applyAlignment="1">
      <alignment horizontal="right"/>
    </xf>
    <xf numFmtId="165" fontId="24" fillId="2" borderId="0" xfId="0" applyNumberFormat="1" applyFont="1" applyFill="1" applyAlignment="1">
      <alignment horizontal="right"/>
    </xf>
    <xf numFmtId="168" fontId="24" fillId="2" borderId="0" xfId="0" applyNumberFormat="1" applyFont="1" applyFill="1"/>
    <xf numFmtId="0" fontId="15" fillId="2" borderId="6" xfId="0" applyFont="1" applyFill="1" applyBorder="1" applyAlignment="1">
      <alignment vertical="center" wrapText="1"/>
    </xf>
    <xf numFmtId="0" fontId="15" fillId="2" borderId="4" xfId="0" applyFont="1" applyFill="1" applyBorder="1" applyAlignment="1">
      <alignment vertical="center" wrapText="1"/>
    </xf>
    <xf numFmtId="0" fontId="40" fillId="2" borderId="4" xfId="0" applyFont="1" applyFill="1" applyBorder="1" applyAlignment="1">
      <alignment vertical="center"/>
    </xf>
    <xf numFmtId="165" fontId="37" fillId="2" borderId="4" xfId="0" applyNumberFormat="1" applyFont="1" applyFill="1" applyBorder="1"/>
    <xf numFmtId="165" fontId="37" fillId="2" borderId="0" xfId="0" applyNumberFormat="1" applyFont="1" applyFill="1"/>
    <xf numFmtId="0" fontId="40" fillId="2" borderId="0" xfId="0" applyFont="1" applyFill="1" applyAlignment="1">
      <alignment vertical="center"/>
    </xf>
    <xf numFmtId="0" fontId="37" fillId="0" borderId="0" xfId="0" applyFont="1"/>
    <xf numFmtId="0" fontId="24" fillId="0" borderId="0" xfId="0" applyFont="1"/>
    <xf numFmtId="165" fontId="24" fillId="0" borderId="0" xfId="0" applyNumberFormat="1" applyFont="1"/>
    <xf numFmtId="165" fontId="37" fillId="0" borderId="0" xfId="0" applyNumberFormat="1" applyFont="1"/>
    <xf numFmtId="0" fontId="41" fillId="2" borderId="0" xfId="0" applyFont="1" applyFill="1" applyAlignment="1">
      <alignment horizontal="center"/>
    </xf>
    <xf numFmtId="0" fontId="34" fillId="2" borderId="0" xfId="0" applyFont="1" applyFill="1" applyAlignment="1">
      <alignment horizontal="center"/>
    </xf>
    <xf numFmtId="0" fontId="15" fillId="2" borderId="0" xfId="0" applyFont="1" applyFill="1" applyAlignment="1">
      <alignment vertical="center"/>
    </xf>
    <xf numFmtId="44" fontId="15" fillId="2" borderId="6" xfId="3" applyFont="1" applyFill="1" applyBorder="1" applyAlignment="1">
      <alignment horizontal="center" vertical="center"/>
    </xf>
    <xf numFmtId="167" fontId="15" fillId="2" borderId="1" xfId="0" applyNumberFormat="1" applyFont="1" applyFill="1" applyBorder="1" applyAlignment="1">
      <alignment vertical="center"/>
    </xf>
    <xf numFmtId="167" fontId="15" fillId="2" borderId="0" xfId="0" applyNumberFormat="1" applyFont="1" applyFill="1" applyAlignment="1">
      <alignment vertical="center"/>
    </xf>
    <xf numFmtId="167" fontId="15" fillId="2" borderId="6" xfId="0" applyNumberFormat="1" applyFont="1" applyFill="1" applyBorder="1" applyAlignment="1">
      <alignment vertical="center"/>
    </xf>
    <xf numFmtId="44" fontId="15" fillId="2" borderId="0" xfId="3" applyFont="1" applyFill="1" applyBorder="1" applyAlignment="1">
      <alignment vertical="center"/>
    </xf>
    <xf numFmtId="44" fontId="15" fillId="2" borderId="0" xfId="3" applyFont="1" applyFill="1" applyBorder="1"/>
    <xf numFmtId="44" fontId="15" fillId="2" borderId="0" xfId="0" applyNumberFormat="1" applyFont="1" applyFill="1"/>
    <xf numFmtId="0" fontId="15" fillId="2" borderId="2" xfId="0" applyFont="1" applyFill="1" applyBorder="1" applyAlignment="1">
      <alignment vertical="center"/>
    </xf>
    <xf numFmtId="44" fontId="15" fillId="2" borderId="7" xfId="3" applyFont="1" applyFill="1" applyBorder="1" applyAlignment="1">
      <alignment horizontal="center" vertical="center"/>
    </xf>
    <xf numFmtId="167" fontId="15" fillId="2" borderId="8" xfId="0" applyNumberFormat="1" applyFont="1" applyFill="1" applyBorder="1" applyAlignment="1">
      <alignment vertical="center"/>
    </xf>
    <xf numFmtId="167" fontId="15" fillId="2" borderId="7" xfId="0" applyNumberFormat="1" applyFont="1" applyFill="1" applyBorder="1" applyAlignment="1">
      <alignment vertical="center"/>
    </xf>
    <xf numFmtId="167" fontId="15" fillId="2" borderId="2" xfId="0" applyNumberFormat="1" applyFont="1" applyFill="1" applyBorder="1" applyAlignment="1">
      <alignment vertical="center"/>
    </xf>
    <xf numFmtId="0" fontId="34" fillId="2" borderId="0" xfId="0" applyFont="1" applyFill="1" applyAlignment="1">
      <alignment horizontal="center" vertical="center"/>
    </xf>
    <xf numFmtId="44" fontId="15" fillId="2" borderId="1" xfId="3" applyFont="1" applyFill="1" applyBorder="1" applyAlignment="1">
      <alignment horizontal="center" vertical="center"/>
    </xf>
    <xf numFmtId="44" fontId="15" fillId="2" borderId="0" xfId="3" applyFont="1" applyFill="1" applyBorder="1" applyAlignment="1">
      <alignment horizontal="center" vertical="center"/>
    </xf>
    <xf numFmtId="44" fontId="15" fillId="2" borderId="2" xfId="3" applyFont="1" applyFill="1" applyBorder="1" applyAlignment="1">
      <alignment horizontal="center" vertical="center"/>
    </xf>
    <xf numFmtId="0" fontId="16" fillId="2" borderId="0" xfId="0" applyFont="1" applyFill="1" applyAlignment="1">
      <alignment horizontal="center" vertical="center"/>
    </xf>
    <xf numFmtId="0" fontId="25" fillId="2" borderId="0" xfId="0" applyFont="1" applyFill="1" applyAlignment="1">
      <alignment horizontal="center"/>
    </xf>
    <xf numFmtId="0" fontId="20" fillId="2" borderId="0" xfId="0" applyFont="1" applyFill="1" applyAlignment="1">
      <alignment horizontal="center"/>
    </xf>
    <xf numFmtId="0" fontId="27" fillId="2" borderId="29" xfId="0" applyFont="1" applyFill="1" applyBorder="1" applyAlignment="1">
      <alignment vertical="top" wrapText="1"/>
    </xf>
    <xf numFmtId="0" fontId="15" fillId="3" borderId="6" xfId="0" applyFont="1" applyFill="1" applyBorder="1" applyAlignment="1">
      <alignment horizontal="center" vertical="top" wrapText="1"/>
    </xf>
    <xf numFmtId="9" fontId="15" fillId="3" borderId="6" xfId="1" applyFont="1" applyFill="1" applyBorder="1" applyAlignment="1">
      <alignment vertical="top" wrapText="1"/>
    </xf>
    <xf numFmtId="9" fontId="15" fillId="2" borderId="6" xfId="1" applyFont="1" applyFill="1" applyBorder="1" applyAlignment="1">
      <alignment vertical="top" wrapText="1"/>
    </xf>
    <xf numFmtId="9" fontId="15" fillId="2" borderId="7" xfId="1" applyFont="1" applyFill="1" applyBorder="1" applyAlignment="1">
      <alignment vertical="top" wrapText="1"/>
    </xf>
    <xf numFmtId="0" fontId="15" fillId="2" borderId="30" xfId="0" applyFont="1" applyFill="1" applyBorder="1" applyAlignment="1">
      <alignment horizontal="center" vertical="top" wrapText="1"/>
    </xf>
    <xf numFmtId="0" fontId="46" fillId="2" borderId="3" xfId="0" applyFont="1" applyFill="1" applyBorder="1" applyAlignment="1">
      <alignment vertical="top" wrapText="1"/>
    </xf>
    <xf numFmtId="0" fontId="46" fillId="2" borderId="4" xfId="0" applyFont="1" applyFill="1" applyBorder="1" applyAlignment="1">
      <alignment wrapText="1"/>
    </xf>
    <xf numFmtId="0" fontId="46" fillId="2" borderId="5" xfId="0" applyFont="1" applyFill="1" applyBorder="1" applyAlignment="1">
      <alignment wrapText="1"/>
    </xf>
    <xf numFmtId="0" fontId="46" fillId="3" borderId="3" xfId="0" applyFont="1" applyFill="1" applyBorder="1" applyAlignment="1">
      <alignment wrapText="1"/>
    </xf>
    <xf numFmtId="0" fontId="46" fillId="3" borderId="4" xfId="0" applyFont="1" applyFill="1" applyBorder="1" applyAlignment="1">
      <alignment wrapText="1"/>
    </xf>
    <xf numFmtId="9" fontId="15" fillId="2" borderId="0" xfId="1" applyFont="1" applyFill="1" applyBorder="1" applyAlignment="1">
      <alignment vertical="top" wrapText="1"/>
    </xf>
    <xf numFmtId="9" fontId="15" fillId="2" borderId="0" xfId="1" applyFont="1" applyFill="1" applyBorder="1" applyAlignment="1"/>
    <xf numFmtId="9" fontId="15" fillId="2" borderId="0" xfId="0" applyNumberFormat="1" applyFont="1" applyFill="1" applyAlignment="1">
      <alignment wrapText="1"/>
    </xf>
    <xf numFmtId="9" fontId="15" fillId="2" borderId="2" xfId="1" applyFont="1" applyFill="1" applyBorder="1" applyAlignment="1">
      <alignment vertical="top" wrapText="1"/>
    </xf>
    <xf numFmtId="9" fontId="15" fillId="2" borderId="4" xfId="1" applyFont="1" applyFill="1" applyBorder="1" applyAlignment="1">
      <alignment vertical="top" wrapText="1"/>
    </xf>
    <xf numFmtId="0" fontId="15" fillId="3" borderId="29" xfId="0" applyFont="1" applyFill="1" applyBorder="1" applyAlignment="1">
      <alignment vertical="top" wrapText="1"/>
    </xf>
    <xf numFmtId="0" fontId="15" fillId="3" borderId="31" xfId="0" applyFont="1" applyFill="1" applyBorder="1" applyAlignment="1">
      <alignment vertical="top" wrapText="1"/>
    </xf>
    <xf numFmtId="0" fontId="46" fillId="2" borderId="29" xfId="0" applyFont="1" applyFill="1" applyBorder="1" applyAlignment="1">
      <alignment vertical="top" wrapText="1"/>
    </xf>
    <xf numFmtId="0" fontId="15" fillId="2" borderId="29" xfId="0" applyFont="1" applyFill="1" applyBorder="1" applyAlignment="1">
      <alignment vertical="top" wrapText="1"/>
    </xf>
    <xf numFmtId="0" fontId="27" fillId="2" borderId="30" xfId="0" applyFont="1" applyFill="1" applyBorder="1" applyAlignment="1">
      <alignment vertical="top" wrapText="1"/>
    </xf>
    <xf numFmtId="0" fontId="46" fillId="3" borderId="29" xfId="0" applyFont="1" applyFill="1" applyBorder="1" applyAlignment="1">
      <alignment wrapText="1"/>
    </xf>
    <xf numFmtId="0" fontId="15" fillId="3" borderId="31" xfId="0" applyFont="1" applyFill="1" applyBorder="1" applyAlignment="1">
      <alignment wrapText="1"/>
    </xf>
    <xf numFmtId="0" fontId="15" fillId="3" borderId="30" xfId="0" applyFont="1" applyFill="1" applyBorder="1" applyAlignment="1">
      <alignment horizontal="left" wrapText="1"/>
    </xf>
    <xf numFmtId="0" fontId="15" fillId="0" borderId="6" xfId="0" applyFont="1" applyBorder="1" applyAlignment="1">
      <alignment wrapText="1"/>
    </xf>
    <xf numFmtId="0" fontId="15" fillId="2" borderId="3" xfId="0" applyFont="1" applyFill="1" applyBorder="1" applyAlignment="1">
      <alignment wrapText="1"/>
    </xf>
    <xf numFmtId="0" fontId="15" fillId="2" borderId="6" xfId="0" applyFont="1" applyFill="1" applyBorder="1" applyAlignment="1">
      <alignment wrapText="1"/>
    </xf>
    <xf numFmtId="0" fontId="32" fillId="3" borderId="0" xfId="2" applyFont="1" applyFill="1" applyBorder="1" applyAlignment="1">
      <alignment wrapText="1"/>
    </xf>
    <xf numFmtId="0" fontId="15" fillId="2" borderId="29" xfId="0" applyFont="1" applyFill="1" applyBorder="1" applyAlignment="1">
      <alignment wrapText="1"/>
    </xf>
    <xf numFmtId="0" fontId="32" fillId="2" borderId="30" xfId="2" applyFont="1" applyFill="1" applyBorder="1" applyAlignment="1">
      <alignment wrapText="1"/>
    </xf>
    <xf numFmtId="0" fontId="44" fillId="10" borderId="26" xfId="0" applyFont="1" applyFill="1" applyBorder="1" applyAlignment="1">
      <alignment vertical="top" wrapText="1"/>
    </xf>
    <xf numFmtId="0" fontId="44" fillId="10" borderId="27" xfId="0" applyFont="1" applyFill="1" applyBorder="1" applyAlignment="1">
      <alignment vertical="top" wrapText="1"/>
    </xf>
    <xf numFmtId="0" fontId="44" fillId="10" borderId="29" xfId="0" applyFont="1" applyFill="1" applyBorder="1" applyAlignment="1">
      <alignment wrapText="1"/>
    </xf>
    <xf numFmtId="0" fontId="44" fillId="10" borderId="24" xfId="0" applyFont="1" applyFill="1" applyBorder="1" applyAlignment="1">
      <alignment wrapText="1"/>
    </xf>
    <xf numFmtId="0" fontId="45" fillId="10" borderId="26" xfId="0" applyFont="1" applyFill="1" applyBorder="1" applyAlignment="1">
      <alignment vertical="top" wrapText="1"/>
    </xf>
    <xf numFmtId="0" fontId="45" fillId="10" borderId="27" xfId="0" applyFont="1" applyFill="1" applyBorder="1" applyAlignment="1">
      <alignment vertical="top" wrapText="1"/>
    </xf>
    <xf numFmtId="0" fontId="44" fillId="10" borderId="28" xfId="0" applyFont="1" applyFill="1" applyBorder="1" applyAlignment="1">
      <alignment wrapText="1"/>
    </xf>
    <xf numFmtId="0" fontId="45" fillId="10" borderId="24" xfId="0" applyFont="1" applyFill="1" applyBorder="1" applyAlignment="1">
      <alignment wrapText="1"/>
    </xf>
    <xf numFmtId="0" fontId="45" fillId="10" borderId="28" xfId="0" applyFont="1" applyFill="1" applyBorder="1" applyAlignment="1">
      <alignment wrapText="1"/>
    </xf>
    <xf numFmtId="0" fontId="44" fillId="10" borderId="31" xfId="0" applyFont="1" applyFill="1" applyBorder="1" applyAlignment="1">
      <alignment vertical="top" wrapText="1"/>
    </xf>
    <xf numFmtId="0" fontId="45" fillId="10" borderId="31" xfId="0" applyFont="1" applyFill="1" applyBorder="1" applyAlignment="1">
      <alignment vertical="top" wrapText="1"/>
    </xf>
    <xf numFmtId="0" fontId="45" fillId="10" borderId="7" xfId="0" applyFont="1" applyFill="1" applyBorder="1" applyAlignment="1">
      <alignment wrapText="1"/>
    </xf>
    <xf numFmtId="0" fontId="45" fillId="10" borderId="2" xfId="0" applyFont="1" applyFill="1" applyBorder="1" applyAlignment="1">
      <alignment wrapText="1"/>
    </xf>
    <xf numFmtId="0" fontId="45" fillId="10" borderId="8" xfId="0" applyFont="1" applyFill="1" applyBorder="1" applyAlignment="1">
      <alignment wrapText="1"/>
    </xf>
    <xf numFmtId="0" fontId="44" fillId="10" borderId="30" xfId="0" applyFont="1" applyFill="1" applyBorder="1" applyAlignment="1">
      <alignment wrapText="1"/>
    </xf>
    <xf numFmtId="0" fontId="15" fillId="13" borderId="24" xfId="0" applyFont="1" applyFill="1" applyBorder="1" applyAlignment="1">
      <alignment vertical="top" wrapText="1"/>
    </xf>
    <xf numFmtId="0" fontId="15" fillId="13" borderId="24" xfId="0" applyFont="1" applyFill="1" applyBorder="1" applyAlignment="1">
      <alignment wrapText="1"/>
    </xf>
    <xf numFmtId="0" fontId="15" fillId="13" borderId="28" xfId="0" applyFont="1" applyFill="1" applyBorder="1" applyAlignment="1">
      <alignment wrapText="1"/>
    </xf>
    <xf numFmtId="0" fontId="47" fillId="5" borderId="0" xfId="0" applyFont="1" applyFill="1" applyAlignment="1">
      <alignment vertical="top" wrapText="1"/>
    </xf>
    <xf numFmtId="0" fontId="15" fillId="3" borderId="4" xfId="0" applyFont="1" applyFill="1" applyBorder="1" applyAlignment="1">
      <alignment vertical="top"/>
    </xf>
    <xf numFmtId="0" fontId="15" fillId="3" borderId="30" xfId="0" applyFont="1" applyFill="1" applyBorder="1" applyAlignment="1">
      <alignment horizontal="left" vertical="top" wrapText="1"/>
    </xf>
    <xf numFmtId="9" fontId="15" fillId="3" borderId="1" xfId="1" applyFont="1" applyFill="1" applyBorder="1" applyAlignment="1">
      <alignment vertical="top" wrapText="1"/>
    </xf>
    <xf numFmtId="9" fontId="15" fillId="2" borderId="1" xfId="1" applyFont="1" applyFill="1" applyBorder="1" applyAlignment="1">
      <alignment vertical="top" wrapText="1"/>
    </xf>
    <xf numFmtId="9" fontId="15" fillId="2" borderId="8" xfId="1" applyFont="1" applyFill="1" applyBorder="1" applyAlignment="1">
      <alignment vertical="top" wrapText="1"/>
    </xf>
    <xf numFmtId="0" fontId="27" fillId="3" borderId="30" xfId="0" applyFont="1" applyFill="1" applyBorder="1" applyAlignment="1">
      <alignment vertical="top" wrapText="1"/>
    </xf>
    <xf numFmtId="0" fontId="21" fillId="0" borderId="0" xfId="0" applyFont="1" applyAlignment="1">
      <alignment vertical="top" wrapText="1"/>
    </xf>
    <xf numFmtId="0" fontId="21" fillId="0" borderId="0" xfId="0" applyFont="1" applyAlignment="1">
      <alignment wrapText="1"/>
    </xf>
    <xf numFmtId="0" fontId="45" fillId="10" borderId="29" xfId="0" applyFont="1" applyFill="1" applyBorder="1" applyAlignment="1">
      <alignment vertical="top" wrapText="1"/>
    </xf>
    <xf numFmtId="0" fontId="45" fillId="10" borderId="29" xfId="0" applyFont="1" applyFill="1" applyBorder="1" applyAlignment="1">
      <alignment vertical="top"/>
    </xf>
    <xf numFmtId="0" fontId="15" fillId="3" borderId="29" xfId="0" applyFont="1" applyFill="1" applyBorder="1" applyAlignment="1">
      <alignment horizontal="center" vertical="top" wrapText="1"/>
    </xf>
    <xf numFmtId="9" fontId="15" fillId="3" borderId="31" xfId="1" applyFont="1" applyFill="1" applyBorder="1" applyAlignment="1">
      <alignment vertical="top" wrapText="1"/>
    </xf>
    <xf numFmtId="9" fontId="15" fillId="3" borderId="29" xfId="1" applyFont="1" applyFill="1" applyBorder="1" applyAlignment="1">
      <alignment vertical="top" wrapText="1"/>
    </xf>
    <xf numFmtId="9" fontId="15" fillId="3" borderId="7" xfId="1" applyFont="1" applyFill="1" applyBorder="1" applyAlignment="1">
      <alignment vertical="top" wrapText="1"/>
    </xf>
    <xf numFmtId="9" fontId="15" fillId="3" borderId="8" xfId="1" applyFont="1" applyFill="1" applyBorder="1" applyAlignment="1">
      <alignment vertical="top" wrapText="1"/>
    </xf>
    <xf numFmtId="0" fontId="7" fillId="2" borderId="5" xfId="0" applyFont="1" applyFill="1" applyBorder="1" applyAlignment="1">
      <alignment wrapText="1"/>
    </xf>
    <xf numFmtId="0" fontId="7" fillId="2" borderId="29" xfId="0" applyFont="1" applyFill="1" applyBorder="1" applyAlignment="1">
      <alignment vertical="top" wrapText="1"/>
    </xf>
    <xf numFmtId="9" fontId="15" fillId="3" borderId="0" xfId="1" applyFont="1" applyFill="1" applyBorder="1" applyAlignment="1">
      <alignment vertical="top" wrapText="1"/>
    </xf>
    <xf numFmtId="0" fontId="15" fillId="2" borderId="3" xfId="0" applyFont="1" applyFill="1" applyBorder="1" applyAlignment="1">
      <alignment horizontal="center" vertical="top" wrapText="1"/>
    </xf>
    <xf numFmtId="0" fontId="15" fillId="2" borderId="5" xfId="0" applyFont="1" applyFill="1" applyBorder="1" applyAlignment="1">
      <alignment vertical="top" wrapText="1"/>
    </xf>
    <xf numFmtId="0" fontId="45" fillId="10" borderId="3" xfId="0" applyFont="1" applyFill="1" applyBorder="1" applyAlignment="1">
      <alignment vertical="top"/>
    </xf>
    <xf numFmtId="0" fontId="45" fillId="10" borderId="5" xfId="0" applyFont="1" applyFill="1" applyBorder="1" applyAlignment="1">
      <alignment wrapText="1"/>
    </xf>
    <xf numFmtId="0" fontId="15" fillId="3" borderId="0" xfId="0" applyFont="1" applyFill="1" applyAlignment="1">
      <alignment horizontal="center" vertical="top" wrapText="1"/>
    </xf>
    <xf numFmtId="0" fontId="45" fillId="10" borderId="29" xfId="0" applyFont="1" applyFill="1" applyBorder="1" applyAlignment="1">
      <alignment wrapText="1"/>
    </xf>
    <xf numFmtId="9" fontId="15" fillId="2" borderId="31" xfId="1" applyFont="1" applyFill="1" applyBorder="1" applyAlignment="1">
      <alignment vertical="top" wrapText="1"/>
    </xf>
    <xf numFmtId="0" fontId="7" fillId="2" borderId="3" xfId="0" applyFont="1" applyFill="1" applyBorder="1" applyAlignment="1">
      <alignment vertical="top"/>
    </xf>
    <xf numFmtId="0" fontId="7" fillId="3" borderId="29" xfId="0" applyFont="1" applyFill="1" applyBorder="1" applyAlignment="1">
      <alignment vertical="top" wrapText="1"/>
    </xf>
    <xf numFmtId="0" fontId="7" fillId="3" borderId="3" xfId="0" applyFont="1" applyFill="1" applyBorder="1" applyAlignment="1">
      <alignment vertical="top"/>
    </xf>
    <xf numFmtId="0" fontId="7" fillId="3" borderId="5" xfId="0" applyFont="1" applyFill="1" applyBorder="1" applyAlignment="1">
      <alignment wrapText="1"/>
    </xf>
    <xf numFmtId="0" fontId="7" fillId="3" borderId="29" xfId="0" applyFont="1" applyFill="1" applyBorder="1" applyAlignment="1">
      <alignment wrapText="1"/>
    </xf>
    <xf numFmtId="0" fontId="7" fillId="3" borderId="31" xfId="0" applyFont="1" applyFill="1" applyBorder="1" applyAlignment="1">
      <alignment vertical="top" wrapText="1"/>
    </xf>
    <xf numFmtId="0" fontId="7" fillId="3" borderId="7" xfId="0" applyFont="1" applyFill="1" applyBorder="1" applyAlignment="1">
      <alignment vertical="top"/>
    </xf>
    <xf numFmtId="0" fontId="7" fillId="3" borderId="8" xfId="0" applyFont="1" applyFill="1" applyBorder="1" applyAlignment="1">
      <alignment wrapText="1"/>
    </xf>
    <xf numFmtId="0" fontId="7" fillId="3" borderId="31" xfId="0" applyFont="1" applyFill="1" applyBorder="1" applyAlignment="1">
      <alignment wrapText="1"/>
    </xf>
    <xf numFmtId="0" fontId="3" fillId="3" borderId="29" xfId="0" applyFont="1" applyFill="1" applyBorder="1" applyAlignment="1">
      <alignment wrapText="1"/>
    </xf>
    <xf numFmtId="0" fontId="3" fillId="2" borderId="29" xfId="0" applyFont="1" applyFill="1" applyBorder="1" applyAlignment="1">
      <alignment wrapText="1"/>
    </xf>
    <xf numFmtId="0" fontId="44" fillId="10" borderId="29" xfId="0" applyFont="1" applyFill="1" applyBorder="1" applyAlignment="1">
      <alignment vertical="top" wrapText="1"/>
    </xf>
    <xf numFmtId="0" fontId="15" fillId="11" borderId="24" xfId="0" applyFont="1" applyFill="1" applyBorder="1" applyAlignment="1">
      <alignment vertical="top" wrapText="1"/>
    </xf>
    <xf numFmtId="0" fontId="15" fillId="11" borderId="24" xfId="0" applyFont="1" applyFill="1" applyBorder="1" applyAlignment="1">
      <alignment wrapText="1"/>
    </xf>
    <xf numFmtId="0" fontId="15" fillId="11" borderId="28" xfId="0" applyFont="1" applyFill="1" applyBorder="1" applyAlignment="1">
      <alignment wrapText="1"/>
    </xf>
    <xf numFmtId="0" fontId="28" fillId="13" borderId="27" xfId="0" applyFont="1" applyFill="1" applyBorder="1" applyAlignment="1">
      <alignment wrapText="1"/>
    </xf>
    <xf numFmtId="0" fontId="28" fillId="11" borderId="27" xfId="0" applyFont="1" applyFill="1" applyBorder="1" applyAlignment="1">
      <alignment wrapText="1"/>
    </xf>
    <xf numFmtId="0" fontId="48" fillId="10" borderId="26" xfId="0" applyFont="1" applyFill="1" applyBorder="1" applyAlignment="1">
      <alignment vertical="top" wrapText="1"/>
    </xf>
    <xf numFmtId="0" fontId="45" fillId="10" borderId="26" xfId="0" applyFont="1" applyFill="1" applyBorder="1" applyAlignment="1">
      <alignment wrapText="1"/>
    </xf>
    <xf numFmtId="0" fontId="15" fillId="2" borderId="26" xfId="0" applyFont="1" applyFill="1" applyBorder="1" applyAlignment="1">
      <alignment horizontal="right" vertical="top" wrapText="1"/>
    </xf>
    <xf numFmtId="0" fontId="24" fillId="2" borderId="26" xfId="0" applyFont="1" applyFill="1" applyBorder="1" applyAlignment="1">
      <alignment vertical="top" wrapText="1"/>
    </xf>
    <xf numFmtId="0" fontId="15" fillId="2" borderId="26" xfId="0" applyFont="1" applyFill="1" applyBorder="1" applyAlignment="1">
      <alignment wrapText="1"/>
    </xf>
    <xf numFmtId="0" fontId="15" fillId="2" borderId="26" xfId="0" applyFont="1" applyFill="1" applyBorder="1" applyAlignment="1">
      <alignment vertical="top" wrapText="1"/>
    </xf>
    <xf numFmtId="0" fontId="2" fillId="2" borderId="26" xfId="0" applyFont="1" applyFill="1" applyBorder="1" applyAlignment="1">
      <alignment vertical="top" wrapText="1"/>
    </xf>
    <xf numFmtId="0" fontId="4" fillId="2" borderId="26" xfId="0" applyFont="1" applyFill="1" applyBorder="1" applyAlignment="1">
      <alignment vertical="top" wrapText="1"/>
    </xf>
    <xf numFmtId="9" fontId="44" fillId="10" borderId="0" xfId="1" applyFont="1" applyFill="1" applyBorder="1" applyAlignment="1">
      <alignment vertical="top" wrapText="1"/>
    </xf>
    <xf numFmtId="0" fontId="43" fillId="10" borderId="1" xfId="0" applyFont="1" applyFill="1" applyBorder="1" applyAlignment="1">
      <alignment wrapText="1"/>
    </xf>
    <xf numFmtId="9" fontId="44" fillId="10" borderId="4" xfId="1" applyFont="1" applyFill="1" applyBorder="1" applyAlignment="1">
      <alignment vertical="top" wrapText="1"/>
    </xf>
    <xf numFmtId="0" fontId="45" fillId="10" borderId="0" xfId="0" applyFont="1" applyFill="1" applyAlignment="1">
      <alignment wrapText="1"/>
    </xf>
    <xf numFmtId="0" fontId="45" fillId="10" borderId="1" xfId="0" applyFont="1" applyFill="1" applyBorder="1" applyAlignment="1">
      <alignment wrapText="1"/>
    </xf>
    <xf numFmtId="0" fontId="44" fillId="10" borderId="30" xfId="0" applyFont="1" applyFill="1" applyBorder="1" applyAlignment="1">
      <alignment vertical="top" wrapText="1"/>
    </xf>
    <xf numFmtId="0" fontId="44" fillId="10" borderId="6" xfId="0" applyFont="1" applyFill="1" applyBorder="1" applyAlignment="1">
      <alignment horizontal="right" vertical="top" wrapText="1"/>
    </xf>
    <xf numFmtId="0" fontId="44" fillId="10" borderId="3" xfId="0" applyFont="1" applyFill="1" applyBorder="1" applyAlignment="1">
      <alignment horizontal="right" vertical="top" wrapText="1"/>
    </xf>
    <xf numFmtId="165" fontId="15" fillId="2" borderId="6" xfId="0" applyNumberFormat="1" applyFont="1" applyFill="1" applyBorder="1" applyAlignment="1">
      <alignment vertical="top" wrapText="1"/>
    </xf>
    <xf numFmtId="44" fontId="15" fillId="2" borderId="29" xfId="3" applyFont="1" applyFill="1" applyBorder="1" applyAlignment="1">
      <alignment wrapText="1"/>
    </xf>
    <xf numFmtId="0" fontId="19" fillId="2" borderId="29" xfId="0" applyFont="1" applyFill="1" applyBorder="1" applyAlignment="1">
      <alignment vertical="top" wrapText="1"/>
    </xf>
    <xf numFmtId="0" fontId="6" fillId="2" borderId="29" xfId="0" applyFont="1" applyFill="1" applyBorder="1" applyAlignment="1">
      <alignment vertical="top" wrapText="1"/>
    </xf>
    <xf numFmtId="0" fontId="28" fillId="2" borderId="0" xfId="0" applyFont="1" applyFill="1" applyAlignment="1">
      <alignment wrapText="1"/>
    </xf>
    <xf numFmtId="0" fontId="19" fillId="3" borderId="30" xfId="0" applyFont="1" applyFill="1" applyBorder="1" applyAlignment="1">
      <alignment vertical="top" wrapText="1"/>
    </xf>
    <xf numFmtId="9" fontId="15" fillId="3" borderId="0" xfId="1" applyFont="1" applyFill="1" applyBorder="1" applyAlignment="1"/>
    <xf numFmtId="9" fontId="15" fillId="3" borderId="0" xfId="0" applyNumberFormat="1" applyFont="1" applyFill="1" applyAlignment="1">
      <alignment wrapText="1"/>
    </xf>
    <xf numFmtId="9" fontId="15" fillId="3" borderId="2" xfId="1" applyFont="1" applyFill="1" applyBorder="1" applyAlignment="1">
      <alignment vertical="top" wrapText="1"/>
    </xf>
    <xf numFmtId="0" fontId="19" fillId="3" borderId="29" xfId="0" applyFont="1" applyFill="1" applyBorder="1" applyAlignment="1">
      <alignment vertical="top" wrapText="1"/>
    </xf>
    <xf numFmtId="9" fontId="15" fillId="3" borderId="4" xfId="1" applyFont="1" applyFill="1" applyBorder="1" applyAlignment="1">
      <alignment vertical="top" wrapText="1"/>
    </xf>
    <xf numFmtId="0" fontId="15" fillId="3" borderId="29" xfId="0" applyFont="1" applyFill="1" applyBorder="1" applyAlignment="1">
      <alignment wrapText="1"/>
    </xf>
    <xf numFmtId="44" fontId="15" fillId="3" borderId="30" xfId="3" applyFont="1" applyFill="1" applyBorder="1" applyAlignment="1">
      <alignment wrapText="1"/>
    </xf>
    <xf numFmtId="2" fontId="15" fillId="3" borderId="6" xfId="0" applyNumberFormat="1" applyFont="1" applyFill="1" applyBorder="1" applyAlignment="1">
      <alignment vertical="top" wrapText="1"/>
    </xf>
    <xf numFmtId="9" fontId="15" fillId="3" borderId="0" xfId="1" applyFont="1" applyFill="1" applyBorder="1" applyAlignment="1">
      <alignment wrapText="1"/>
    </xf>
    <xf numFmtId="0" fontId="35" fillId="3" borderId="1" xfId="0" applyFont="1" applyFill="1" applyBorder="1" applyAlignment="1">
      <alignment vertical="center" wrapText="1"/>
    </xf>
    <xf numFmtId="0" fontId="18" fillId="2" borderId="26" xfId="0" applyFont="1" applyFill="1" applyBorder="1" applyAlignment="1">
      <alignment vertical="top" wrapText="1"/>
    </xf>
    <xf numFmtId="9" fontId="15" fillId="2" borderId="24" xfId="1" applyFont="1" applyFill="1" applyBorder="1" applyAlignment="1">
      <alignment vertical="top" wrapText="1"/>
    </xf>
    <xf numFmtId="0" fontId="42" fillId="10" borderId="0" xfId="0" applyFont="1" applyFill="1" applyAlignment="1">
      <alignment vertical="top" wrapText="1"/>
    </xf>
    <xf numFmtId="0" fontId="15" fillId="11" borderId="0" xfId="0" applyFont="1" applyFill="1" applyAlignment="1">
      <alignment vertical="top" wrapText="1"/>
    </xf>
    <xf numFmtId="0" fontId="15" fillId="11" borderId="0" xfId="0" applyFont="1" applyFill="1" applyAlignment="1">
      <alignment wrapText="1"/>
    </xf>
    <xf numFmtId="0" fontId="23" fillId="14" borderId="0" xfId="0" applyFont="1" applyFill="1" applyAlignment="1">
      <alignment vertical="top" wrapText="1"/>
    </xf>
    <xf numFmtId="0" fontId="15" fillId="14" borderId="0" xfId="0" applyFont="1" applyFill="1" applyAlignment="1">
      <alignment vertical="top" wrapText="1"/>
    </xf>
    <xf numFmtId="0" fontId="15" fillId="14" borderId="0" xfId="0" applyFont="1" applyFill="1" applyAlignment="1">
      <alignment wrapText="1"/>
    </xf>
    <xf numFmtId="0" fontId="45" fillId="10" borderId="19" xfId="0" applyFont="1" applyFill="1" applyBorder="1" applyAlignment="1">
      <alignment horizontal="center"/>
    </xf>
    <xf numFmtId="0" fontId="45" fillId="10" borderId="0" xfId="0" applyFont="1" applyFill="1" applyAlignment="1">
      <alignment horizontal="center"/>
    </xf>
    <xf numFmtId="0" fontId="45" fillId="10" borderId="0" xfId="0" applyFont="1" applyFill="1" applyAlignment="1">
      <alignment horizontal="center" wrapText="1"/>
    </xf>
    <xf numFmtId="0" fontId="45" fillId="10" borderId="20" xfId="0" applyFont="1" applyFill="1" applyBorder="1" applyAlignment="1">
      <alignment horizontal="center"/>
    </xf>
    <xf numFmtId="0" fontId="45" fillId="10" borderId="6" xfId="0" applyFont="1" applyFill="1" applyBorder="1"/>
    <xf numFmtId="0" fontId="45" fillId="10" borderId="1" xfId="0" applyFont="1" applyFill="1" applyBorder="1" applyAlignment="1">
      <alignment horizontal="center"/>
    </xf>
    <xf numFmtId="0" fontId="44" fillId="10" borderId="2" xfId="0" applyFont="1" applyFill="1" applyBorder="1" applyAlignment="1">
      <alignment horizontal="center" vertical="center" wrapText="1"/>
    </xf>
    <xf numFmtId="0" fontId="44" fillId="10" borderId="2" xfId="0" applyFont="1" applyFill="1" applyBorder="1" applyAlignment="1">
      <alignment horizontal="center" vertical="center"/>
    </xf>
    <xf numFmtId="0" fontId="43" fillId="10" borderId="2" xfId="0" applyFont="1" applyFill="1" applyBorder="1"/>
    <xf numFmtId="0" fontId="48" fillId="10" borderId="0" xfId="0" applyFont="1" applyFill="1"/>
    <xf numFmtId="165" fontId="48" fillId="10" borderId="0" xfId="0" applyNumberFormat="1" applyFont="1" applyFill="1" applyAlignment="1">
      <alignment wrapText="1"/>
    </xf>
    <xf numFmtId="0" fontId="48" fillId="10" borderId="1" xfId="0" applyFont="1" applyFill="1" applyBorder="1"/>
    <xf numFmtId="0" fontId="49" fillId="10" borderId="4" xfId="0" applyFont="1" applyFill="1" applyBorder="1" applyAlignment="1">
      <alignment vertical="center"/>
    </xf>
    <xf numFmtId="0" fontId="49" fillId="10" borderId="3" xfId="0" applyFont="1" applyFill="1" applyBorder="1" applyAlignment="1">
      <alignment horizontal="center" vertical="center" wrapText="1"/>
    </xf>
    <xf numFmtId="0" fontId="49" fillId="10" borderId="5" xfId="0" applyFont="1" applyFill="1" applyBorder="1" applyAlignment="1">
      <alignment horizontal="center" vertical="center" wrapText="1"/>
    </xf>
    <xf numFmtId="0" fontId="49" fillId="10" borderId="4" xfId="0" applyFont="1" applyFill="1" applyBorder="1" applyAlignment="1">
      <alignment horizontal="center" vertical="center" wrapText="1"/>
    </xf>
    <xf numFmtId="0" fontId="49" fillId="10" borderId="29" xfId="0" applyFont="1" applyFill="1" applyBorder="1" applyAlignment="1">
      <alignment horizontal="center" vertical="center" wrapText="1"/>
    </xf>
    <xf numFmtId="167" fontId="15" fillId="2" borderId="30" xfId="0" applyNumberFormat="1" applyFont="1" applyFill="1" applyBorder="1" applyAlignment="1">
      <alignment vertical="center"/>
    </xf>
    <xf numFmtId="167" fontId="15" fillId="2" borderId="31" xfId="0" applyNumberFormat="1" applyFont="1" applyFill="1" applyBorder="1" applyAlignment="1">
      <alignment vertical="center"/>
    </xf>
    <xf numFmtId="44" fontId="15" fillId="2" borderId="30" xfId="3" applyFont="1" applyFill="1" applyBorder="1" applyAlignment="1">
      <alignment horizontal="center" vertical="center"/>
    </xf>
    <xf numFmtId="0" fontId="50" fillId="10" borderId="3" xfId="0" applyFont="1" applyFill="1" applyBorder="1" applyAlignment="1">
      <alignment horizontal="center" vertical="center" wrapText="1"/>
    </xf>
    <xf numFmtId="0" fontId="50" fillId="10" borderId="5" xfId="0" applyFont="1" applyFill="1" applyBorder="1" applyAlignment="1">
      <alignment horizontal="left" vertical="center" wrapText="1"/>
    </xf>
    <xf numFmtId="44" fontId="15" fillId="2" borderId="6" xfId="3" applyFont="1" applyFill="1" applyBorder="1" applyAlignment="1">
      <alignment vertical="center"/>
    </xf>
    <xf numFmtId="44" fontId="15" fillId="2" borderId="1" xfId="3" applyFont="1" applyFill="1" applyBorder="1"/>
    <xf numFmtId="167" fontId="15" fillId="2" borderId="6" xfId="3" applyNumberFormat="1" applyFont="1" applyFill="1" applyBorder="1" applyAlignment="1">
      <alignment vertical="center"/>
    </xf>
    <xf numFmtId="44" fontId="15" fillId="2" borderId="1" xfId="3" applyFont="1" applyFill="1" applyBorder="1" applyAlignment="1">
      <alignment vertical="center" wrapText="1"/>
    </xf>
    <xf numFmtId="167" fontId="15" fillId="2" borderId="7" xfId="3" applyNumberFormat="1" applyFont="1" applyFill="1" applyBorder="1" applyAlignment="1">
      <alignment vertical="center"/>
    </xf>
    <xf numFmtId="44" fontId="15" fillId="2" borderId="2" xfId="3" applyFont="1" applyFill="1" applyBorder="1" applyAlignment="1">
      <alignment vertical="center"/>
    </xf>
    <xf numFmtId="0" fontId="49" fillId="10" borderId="5" xfId="0" applyFont="1" applyFill="1" applyBorder="1" applyAlignment="1">
      <alignment vertical="center"/>
    </xf>
    <xf numFmtId="44" fontId="15" fillId="2" borderId="7" xfId="3" applyFont="1" applyFill="1" applyBorder="1" applyAlignment="1">
      <alignment vertical="center"/>
    </xf>
    <xf numFmtId="0" fontId="49" fillId="10" borderId="5" xfId="0" applyFont="1" applyFill="1" applyBorder="1" applyAlignment="1">
      <alignment horizontal="left" vertical="center" wrapText="1"/>
    </xf>
    <xf numFmtId="44" fontId="15" fillId="2" borderId="1" xfId="3" applyFont="1" applyFill="1" applyBorder="1" applyAlignment="1">
      <alignment vertical="center"/>
    </xf>
    <xf numFmtId="44" fontId="15" fillId="2" borderId="8" xfId="3" applyFont="1" applyFill="1" applyBorder="1" applyAlignment="1">
      <alignment vertical="center"/>
    </xf>
    <xf numFmtId="0" fontId="44" fillId="10" borderId="27" xfId="0" applyFont="1" applyFill="1" applyBorder="1" applyAlignment="1">
      <alignment horizontal="center"/>
    </xf>
    <xf numFmtId="0" fontId="44" fillId="10" borderId="27" xfId="0" applyFont="1" applyFill="1" applyBorder="1"/>
    <xf numFmtId="0" fontId="44" fillId="10" borderId="24" xfId="0" applyFont="1" applyFill="1" applyBorder="1" applyAlignment="1">
      <alignment horizontal="center" vertical="center" wrapText="1"/>
    </xf>
    <xf numFmtId="0" fontId="44" fillId="10" borderId="28" xfId="0" applyFont="1" applyFill="1" applyBorder="1"/>
    <xf numFmtId="0" fontId="44" fillId="10" borderId="27" xfId="0" applyFont="1" applyFill="1" applyBorder="1" applyAlignment="1">
      <alignment horizontal="center" vertical="center" wrapText="1"/>
    </xf>
    <xf numFmtId="0" fontId="44" fillId="10" borderId="28" xfId="0" applyFont="1" applyFill="1" applyBorder="1" applyAlignment="1">
      <alignment horizontal="center" vertical="center" wrapText="1"/>
    </xf>
    <xf numFmtId="0" fontId="44" fillId="10" borderId="28" xfId="0" applyFont="1" applyFill="1" applyBorder="1" applyAlignment="1">
      <alignment horizontal="center" vertical="center"/>
    </xf>
    <xf numFmtId="0" fontId="44" fillId="10" borderId="28" xfId="0" applyFont="1" applyFill="1" applyBorder="1" applyAlignment="1">
      <alignment horizontal="center"/>
    </xf>
    <xf numFmtId="0" fontId="45" fillId="10" borderId="27" xfId="0" applyFont="1" applyFill="1" applyBorder="1" applyAlignment="1">
      <alignment horizontal="center" vertical="center" wrapText="1"/>
    </xf>
    <xf numFmtId="0" fontId="45" fillId="10" borderId="28" xfId="0" applyFont="1" applyFill="1" applyBorder="1" applyAlignment="1">
      <alignment horizontal="center" vertical="center"/>
    </xf>
    <xf numFmtId="0" fontId="15" fillId="13" borderId="0" xfId="0" applyFont="1" applyFill="1"/>
    <xf numFmtId="0" fontId="44" fillId="10" borderId="0" xfId="0" applyFont="1" applyFill="1" applyAlignment="1">
      <alignment vertical="top" wrapText="1"/>
    </xf>
    <xf numFmtId="0" fontId="47" fillId="2" borderId="0" xfId="0" applyFont="1" applyFill="1" applyAlignment="1">
      <alignment vertical="top" wrapText="1"/>
    </xf>
    <xf numFmtId="0" fontId="21" fillId="2" borderId="0" xfId="0" applyFont="1" applyFill="1" applyAlignment="1">
      <alignment wrapText="1"/>
    </xf>
    <xf numFmtId="0" fontId="52" fillId="2" borderId="0" xfId="0" applyFont="1" applyFill="1" applyAlignment="1">
      <alignment horizontal="center" vertical="center" wrapText="1"/>
    </xf>
    <xf numFmtId="0" fontId="0" fillId="2" borderId="29" xfId="0" applyFill="1" applyBorder="1" applyAlignment="1">
      <alignment horizontal="left" vertical="center" wrapText="1" indent="1"/>
    </xf>
    <xf numFmtId="0" fontId="0" fillId="2" borderId="30" xfId="0" applyFill="1" applyBorder="1" applyAlignment="1">
      <alignment horizontal="left" vertical="center" wrapText="1" indent="1"/>
    </xf>
    <xf numFmtId="0" fontId="15" fillId="0" borderId="30" xfId="0" applyFont="1" applyBorder="1" applyAlignment="1">
      <alignment wrapText="1"/>
    </xf>
    <xf numFmtId="0" fontId="15" fillId="0" borderId="31" xfId="0" applyFont="1" applyBorder="1" applyAlignment="1">
      <alignment wrapText="1"/>
    </xf>
    <xf numFmtId="165" fontId="15" fillId="2" borderId="0" xfId="0" applyNumberFormat="1" applyFont="1" applyFill="1" applyAlignment="1">
      <alignment vertical="center"/>
    </xf>
    <xf numFmtId="165" fontId="15" fillId="2" borderId="0" xfId="0" applyNumberFormat="1" applyFont="1" applyFill="1" applyAlignment="1">
      <alignment horizontal="right" vertical="center"/>
    </xf>
    <xf numFmtId="0" fontId="15" fillId="2" borderId="1" xfId="0" applyFont="1" applyFill="1" applyBorder="1" applyAlignment="1">
      <alignment horizontal="right" vertical="center" wrapText="1"/>
    </xf>
    <xf numFmtId="9" fontId="15" fillId="2" borderId="0" xfId="1" applyFont="1" applyFill="1" applyBorder="1"/>
    <xf numFmtId="0" fontId="44" fillId="2" borderId="0" xfId="0" applyFont="1" applyFill="1" applyAlignment="1">
      <alignment horizontal="center" vertical="center" wrapText="1"/>
    </xf>
    <xf numFmtId="0" fontId="35" fillId="3" borderId="0" xfId="0" applyFont="1" applyFill="1" applyAlignment="1">
      <alignment vertical="center"/>
    </xf>
    <xf numFmtId="0" fontId="16" fillId="2" borderId="0" xfId="0" applyFont="1" applyFill="1" applyAlignment="1">
      <alignment horizontal="left"/>
    </xf>
    <xf numFmtId="0" fontId="17" fillId="2" borderId="0" xfId="0" applyFont="1" applyFill="1" applyAlignment="1">
      <alignment horizontal="center" vertical="center" textRotation="90"/>
    </xf>
    <xf numFmtId="0" fontId="17" fillId="2" borderId="0" xfId="0" applyFont="1" applyFill="1" applyAlignment="1">
      <alignment horizontal="center" vertical="center" textRotation="90" wrapText="1"/>
    </xf>
    <xf numFmtId="0" fontId="25" fillId="2" borderId="0" xfId="0" applyFont="1" applyFill="1" applyAlignment="1">
      <alignment horizontal="center" vertical="center" wrapText="1"/>
    </xf>
    <xf numFmtId="0" fontId="25" fillId="2" borderId="0" xfId="0" applyFont="1" applyFill="1" applyAlignment="1">
      <alignment horizontal="center" vertical="center"/>
    </xf>
    <xf numFmtId="0" fontId="19" fillId="2" borderId="0" xfId="0" applyFont="1" applyFill="1" applyAlignment="1">
      <alignment horizontal="center" vertical="center"/>
    </xf>
    <xf numFmtId="0" fontId="51" fillId="2" borderId="0" xfId="0" applyFont="1" applyFill="1" applyAlignment="1">
      <alignment horizontal="center" vertical="center" wrapText="1"/>
    </xf>
    <xf numFmtId="0" fontId="18" fillId="2" borderId="0" xfId="0" applyFont="1" applyFill="1" applyAlignment="1">
      <alignment horizontal="center" vertical="center"/>
    </xf>
    <xf numFmtId="0" fontId="22" fillId="2" borderId="0" xfId="0" applyFont="1" applyFill="1" applyAlignment="1">
      <alignment horizontal="center" vertical="center" wrapText="1"/>
    </xf>
    <xf numFmtId="0" fontId="22" fillId="2" borderId="0" xfId="0" applyFont="1" applyFill="1" applyAlignment="1">
      <alignment horizontal="center" vertical="center"/>
    </xf>
    <xf numFmtId="0" fontId="26" fillId="2" borderId="0" xfId="0" applyFont="1" applyFill="1" applyAlignment="1">
      <alignment horizontal="center" vertical="center" wrapText="1"/>
    </xf>
    <xf numFmtId="0" fontId="26" fillId="2" borderId="0" xfId="0" applyFont="1" applyFill="1" applyAlignment="1">
      <alignment horizontal="center" vertical="center"/>
    </xf>
    <xf numFmtId="0" fontId="28" fillId="2" borderId="0" xfId="0" applyFont="1" applyFill="1" applyAlignment="1">
      <alignment vertical="center"/>
    </xf>
    <xf numFmtId="165" fontId="20" fillId="2" borderId="0" xfId="0" applyNumberFormat="1" applyFont="1" applyFill="1" applyAlignment="1">
      <alignment horizontal="center"/>
    </xf>
    <xf numFmtId="0" fontId="0" fillId="2" borderId="0" xfId="0" applyFill="1"/>
    <xf numFmtId="0" fontId="23" fillId="2" borderId="3" xfId="0" applyFont="1" applyFill="1" applyBorder="1"/>
    <xf numFmtId="0" fontId="15" fillId="0" borderId="7" xfId="0" applyFont="1" applyBorder="1"/>
    <xf numFmtId="0" fontId="44" fillId="10" borderId="0" xfId="0" applyFont="1" applyFill="1" applyAlignment="1">
      <alignment horizontal="center" vertical="center" wrapText="1"/>
    </xf>
    <xf numFmtId="1" fontId="15" fillId="2" borderId="24" xfId="0" applyNumberFormat="1" applyFont="1" applyFill="1" applyBorder="1" applyAlignment="1">
      <alignment horizontal="center"/>
    </xf>
    <xf numFmtId="0" fontId="15" fillId="2" borderId="8" xfId="0" quotePrefix="1" applyFont="1" applyFill="1" applyBorder="1"/>
    <xf numFmtId="1" fontId="15" fillId="2" borderId="0" xfId="0" applyNumberFormat="1" applyFont="1" applyFill="1" applyAlignment="1">
      <alignment wrapText="1"/>
    </xf>
    <xf numFmtId="1" fontId="24" fillId="2" borderId="0" xfId="0" applyNumberFormat="1" applyFont="1" applyFill="1" applyAlignment="1">
      <alignment wrapText="1"/>
    </xf>
    <xf numFmtId="0" fontId="21" fillId="15" borderId="26" xfId="0" applyFont="1" applyFill="1" applyBorder="1" applyAlignment="1">
      <alignment horizontal="center" vertical="center" wrapText="1"/>
    </xf>
    <xf numFmtId="0" fontId="21" fillId="16" borderId="26" xfId="0" applyFont="1" applyFill="1" applyBorder="1" applyAlignment="1">
      <alignment horizontal="center" vertical="center"/>
    </xf>
    <xf numFmtId="0" fontId="21" fillId="16" borderId="26" xfId="0" applyFont="1" applyFill="1" applyBorder="1" applyAlignment="1">
      <alignment horizontal="center" vertical="center" wrapText="1"/>
    </xf>
    <xf numFmtId="0" fontId="21" fillId="19" borderId="26" xfId="0" applyFont="1" applyFill="1" applyBorder="1" applyAlignment="1">
      <alignment horizontal="center" vertical="center" wrapText="1"/>
    </xf>
    <xf numFmtId="0" fontId="21" fillId="17" borderId="26" xfId="0" applyFont="1" applyFill="1" applyBorder="1" applyAlignment="1">
      <alignment horizontal="center" vertical="center" wrapText="1"/>
    </xf>
    <xf numFmtId="0" fontId="21" fillId="17" borderId="27"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22" fillId="15" borderId="26" xfId="0" applyFont="1" applyFill="1" applyBorder="1" applyAlignment="1">
      <alignment horizontal="center" vertical="center" wrapText="1"/>
    </xf>
    <xf numFmtId="0" fontId="22" fillId="16" borderId="26" xfId="0" applyFont="1" applyFill="1" applyBorder="1" applyAlignment="1">
      <alignment horizontal="center" vertical="center"/>
    </xf>
    <xf numFmtId="0" fontId="22" fillId="19" borderId="26" xfId="0" applyFont="1" applyFill="1" applyBorder="1" applyAlignment="1">
      <alignment horizontal="center" vertical="center" wrapText="1"/>
    </xf>
    <xf numFmtId="0" fontId="22" fillId="17" borderId="29" xfId="0" applyFont="1" applyFill="1" applyBorder="1" applyAlignment="1">
      <alignment horizontal="center" vertical="center" wrapText="1"/>
    </xf>
    <xf numFmtId="0" fontId="22" fillId="17" borderId="3" xfId="0" applyFont="1" applyFill="1" applyBorder="1" applyAlignment="1">
      <alignment horizontal="center" vertical="center" wrapText="1"/>
    </xf>
    <xf numFmtId="0" fontId="21" fillId="2" borderId="30" xfId="0" applyFont="1" applyFill="1" applyBorder="1" applyAlignment="1">
      <alignment horizontal="center" vertical="center" wrapText="1"/>
    </xf>
    <xf numFmtId="0" fontId="15" fillId="2" borderId="31" xfId="0" applyFont="1" applyFill="1" applyBorder="1" applyAlignment="1">
      <alignment horizontal="left" vertical="center" wrapText="1"/>
    </xf>
    <xf numFmtId="0" fontId="18" fillId="3" borderId="26" xfId="0" applyFont="1" applyFill="1" applyBorder="1" applyAlignment="1">
      <alignment horizontal="center" vertical="center"/>
    </xf>
    <xf numFmtId="0" fontId="18" fillId="15" borderId="26" xfId="0" applyFont="1" applyFill="1" applyBorder="1" applyAlignment="1">
      <alignment horizontal="center" vertical="center"/>
    </xf>
    <xf numFmtId="0" fontId="18" fillId="19" borderId="26" xfId="0" applyFont="1" applyFill="1" applyBorder="1" applyAlignment="1">
      <alignment horizontal="center" vertical="center"/>
    </xf>
    <xf numFmtId="0" fontId="19" fillId="2" borderId="29" xfId="0" applyFont="1" applyFill="1" applyBorder="1" applyAlignment="1">
      <alignment horizontal="center" vertical="center"/>
    </xf>
    <xf numFmtId="0" fontId="21" fillId="18" borderId="26" xfId="0" applyFont="1" applyFill="1" applyBorder="1" applyAlignment="1">
      <alignment horizontal="center" vertical="center" wrapText="1"/>
    </xf>
    <xf numFmtId="0" fontId="22" fillId="18" borderId="26" xfId="0" applyFont="1" applyFill="1" applyBorder="1" applyAlignment="1">
      <alignment horizontal="center" vertical="center" wrapText="1"/>
    </xf>
    <xf numFmtId="0" fontId="18" fillId="18" borderId="26" xfId="0" applyFont="1" applyFill="1" applyBorder="1" applyAlignment="1">
      <alignment horizontal="center" vertical="center"/>
    </xf>
    <xf numFmtId="0" fontId="51" fillId="2" borderId="30" xfId="0" applyFont="1" applyFill="1" applyBorder="1" applyAlignment="1">
      <alignment horizontal="center" vertical="center" wrapText="1"/>
    </xf>
    <xf numFmtId="0" fontId="22" fillId="17" borderId="26" xfId="0" applyFont="1" applyFill="1" applyBorder="1" applyAlignment="1">
      <alignment horizontal="center" vertical="center" wrapText="1"/>
    </xf>
    <xf numFmtId="0" fontId="19" fillId="2" borderId="26" xfId="0" applyFont="1" applyFill="1" applyBorder="1" applyAlignment="1">
      <alignment horizontal="center" vertical="center"/>
    </xf>
    <xf numFmtId="0" fontId="18" fillId="11" borderId="26" xfId="0" applyFont="1" applyFill="1" applyBorder="1" applyAlignment="1" applyProtection="1">
      <alignment horizontal="center" vertical="center" wrapText="1"/>
      <protection locked="0"/>
    </xf>
    <xf numFmtId="0" fontId="18" fillId="5" borderId="26" xfId="0" applyFont="1" applyFill="1" applyBorder="1" applyAlignment="1" applyProtection="1">
      <alignment horizontal="center" vertical="center"/>
      <protection locked="0"/>
    </xf>
    <xf numFmtId="0" fontId="18" fillId="13" borderId="26" xfId="0" applyFont="1" applyFill="1" applyBorder="1" applyAlignment="1" applyProtection="1">
      <alignment horizontal="center" vertical="center"/>
      <protection locked="0"/>
    </xf>
    <xf numFmtId="0" fontId="18" fillId="6" borderId="26" xfId="0" applyFont="1" applyFill="1" applyBorder="1" applyAlignment="1" applyProtection="1">
      <alignment horizontal="center" vertical="center" wrapText="1"/>
      <protection locked="0"/>
    </xf>
    <xf numFmtId="0" fontId="18" fillId="12" borderId="26" xfId="0" applyFont="1" applyFill="1" applyBorder="1" applyAlignment="1" applyProtection="1">
      <alignment horizontal="center" vertical="center" wrapText="1"/>
      <protection locked="0"/>
    </xf>
    <xf numFmtId="0" fontId="18" fillId="9" borderId="26" xfId="0" applyFont="1" applyFill="1" applyBorder="1" applyAlignment="1" applyProtection="1">
      <alignment horizontal="center" vertical="center" wrapText="1"/>
      <protection locked="0"/>
    </xf>
    <xf numFmtId="0" fontId="18" fillId="13" borderId="26" xfId="0" applyFont="1" applyFill="1" applyBorder="1" applyAlignment="1" applyProtection="1">
      <alignment horizontal="center" vertical="center" wrapText="1"/>
      <protection locked="0"/>
    </xf>
    <xf numFmtId="0" fontId="18" fillId="13" borderId="27" xfId="0" applyFont="1" applyFill="1" applyBorder="1" applyAlignment="1" applyProtection="1">
      <alignment horizontal="center" vertical="center"/>
      <protection locked="0"/>
    </xf>
    <xf numFmtId="0" fontId="28" fillId="20" borderId="27" xfId="0" applyFont="1" applyFill="1" applyBorder="1" applyAlignment="1">
      <alignment wrapText="1"/>
    </xf>
    <xf numFmtId="0" fontId="15" fillId="20" borderId="24" xfId="0" applyFont="1" applyFill="1" applyBorder="1" applyAlignment="1">
      <alignment vertical="top" wrapText="1"/>
    </xf>
    <xf numFmtId="0" fontId="15" fillId="20" borderId="24" xfId="0" applyFont="1" applyFill="1" applyBorder="1" applyAlignment="1">
      <alignment wrapText="1"/>
    </xf>
    <xf numFmtId="0" fontId="15" fillId="2" borderId="1" xfId="3" applyNumberFormat="1" applyFont="1" applyFill="1" applyBorder="1" applyAlignment="1">
      <alignment vertical="center" wrapText="1"/>
    </xf>
    <xf numFmtId="0" fontId="15" fillId="2" borderId="8" xfId="0" applyFont="1" applyFill="1" applyBorder="1" applyAlignment="1">
      <alignment vertical="center" wrapText="1"/>
    </xf>
    <xf numFmtId="0" fontId="15" fillId="2" borderId="1" xfId="0" applyFont="1" applyFill="1" applyBorder="1" applyAlignment="1">
      <alignment vertical="center"/>
    </xf>
    <xf numFmtId="0" fontId="15" fillId="2" borderId="8" xfId="3" applyNumberFormat="1" applyFont="1" applyFill="1" applyBorder="1" applyAlignment="1">
      <alignment vertical="center" wrapText="1"/>
    </xf>
    <xf numFmtId="0" fontId="15" fillId="2" borderId="8" xfId="0" applyFont="1" applyFill="1" applyBorder="1" applyAlignment="1">
      <alignment vertical="center"/>
    </xf>
    <xf numFmtId="9" fontId="5" fillId="3" borderId="30" xfId="2" applyNumberFormat="1" applyFill="1" applyBorder="1" applyAlignment="1">
      <alignment vertical="top" wrapText="1"/>
    </xf>
    <xf numFmtId="9" fontId="15" fillId="3" borderId="30" xfId="1" applyFont="1" applyFill="1" applyBorder="1" applyAlignment="1">
      <alignment horizontal="right" vertical="top" wrapText="1"/>
    </xf>
    <xf numFmtId="0" fontId="20" fillId="2" borderId="24" xfId="0" applyFont="1" applyFill="1" applyBorder="1" applyAlignment="1">
      <alignment vertical="center"/>
    </xf>
    <xf numFmtId="0" fontId="15" fillId="2" borderId="24" xfId="0" applyFont="1" applyFill="1" applyBorder="1"/>
    <xf numFmtId="0" fontId="0" fillId="0" borderId="0" xfId="0" applyAlignment="1">
      <alignment vertical="center" wrapText="1"/>
    </xf>
    <xf numFmtId="0" fontId="18" fillId="2" borderId="0" xfId="0" applyFont="1" applyFill="1" applyAlignment="1">
      <alignment vertical="top" wrapText="1"/>
    </xf>
    <xf numFmtId="0" fontId="23" fillId="8" borderId="0" xfId="0" applyFont="1" applyFill="1" applyAlignment="1">
      <alignment vertical="top" wrapText="1"/>
    </xf>
    <xf numFmtId="0" fontId="26" fillId="2" borderId="0" xfId="0" applyFont="1" applyFill="1" applyAlignment="1">
      <alignment vertical="top" wrapText="1"/>
    </xf>
    <xf numFmtId="0" fontId="3" fillId="3" borderId="1" xfId="0" applyFont="1" applyFill="1" applyBorder="1" applyAlignment="1">
      <alignment vertical="center" wrapText="1"/>
    </xf>
    <xf numFmtId="0" fontId="15" fillId="3" borderId="1" xfId="0" applyFont="1" applyFill="1" applyBorder="1" applyAlignment="1">
      <alignment horizontal="left" vertical="center" wrapText="1"/>
    </xf>
    <xf numFmtId="0" fontId="3" fillId="2" borderId="0" xfId="0" applyFont="1" applyFill="1" applyAlignment="1">
      <alignment vertical="center" wrapText="1"/>
    </xf>
    <xf numFmtId="0" fontId="3" fillId="2" borderId="6" xfId="0" applyFont="1" applyFill="1" applyBorder="1" applyAlignment="1">
      <alignment vertical="center" wrapText="1"/>
    </xf>
    <xf numFmtId="0" fontId="5" fillId="0" borderId="0" xfId="2"/>
    <xf numFmtId="1" fontId="15" fillId="2" borderId="6" xfId="0" applyNumberFormat="1" applyFont="1" applyFill="1" applyBorder="1" applyAlignment="1">
      <alignment vertical="top" wrapText="1"/>
    </xf>
    <xf numFmtId="1" fontId="3" fillId="2" borderId="6" xfId="0" applyNumberFormat="1" applyFont="1" applyFill="1" applyBorder="1" applyAlignment="1">
      <alignment vertical="center" wrapText="1"/>
    </xf>
    <xf numFmtId="0" fontId="15" fillId="2" borderId="6" xfId="0" applyFont="1" applyFill="1" applyBorder="1" applyAlignment="1">
      <alignment horizontal="center"/>
    </xf>
    <xf numFmtId="0" fontId="15" fillId="2" borderId="6" xfId="0" applyFont="1" applyFill="1" applyBorder="1" applyAlignment="1">
      <alignment horizontal="center" vertical="center"/>
    </xf>
    <xf numFmtId="0" fontId="5" fillId="2" borderId="26" xfId="2" applyFill="1" applyBorder="1" applyAlignment="1">
      <alignment wrapText="1"/>
    </xf>
    <xf numFmtId="0" fontId="4" fillId="22" borderId="0" xfId="0" applyFont="1" applyFill="1"/>
    <xf numFmtId="0" fontId="2" fillId="22" borderId="0" xfId="0" applyFont="1" applyFill="1" applyAlignment="1">
      <alignment vertical="top"/>
    </xf>
    <xf numFmtId="0" fontId="2" fillId="22" borderId="0" xfId="0" applyFont="1" applyFill="1"/>
    <xf numFmtId="0" fontId="2" fillId="0" borderId="0" xfId="0" applyFont="1"/>
    <xf numFmtId="0" fontId="2" fillId="0" borderId="0" xfId="0" applyFont="1" applyAlignment="1">
      <alignment horizontal="right"/>
    </xf>
    <xf numFmtId="0" fontId="4" fillId="23" borderId="0" xfId="0" applyFont="1" applyFill="1"/>
    <xf numFmtId="0" fontId="55" fillId="0" borderId="0" xfId="0" applyFont="1"/>
    <xf numFmtId="0" fontId="56" fillId="0" borderId="0" xfId="0" applyFont="1"/>
    <xf numFmtId="0" fontId="0" fillId="2" borderId="34" xfId="0" applyFill="1" applyBorder="1"/>
    <xf numFmtId="0" fontId="0" fillId="2" borderId="35" xfId="0" applyFill="1" applyBorder="1"/>
    <xf numFmtId="0" fontId="0" fillId="2" borderId="36" xfId="0" applyFill="1" applyBorder="1"/>
    <xf numFmtId="0" fontId="0" fillId="2" borderId="33" xfId="0" applyFill="1" applyBorder="1"/>
    <xf numFmtId="0" fontId="0" fillId="2" borderId="32" xfId="0" applyFill="1" applyBorder="1"/>
    <xf numFmtId="0" fontId="0" fillId="2" borderId="37" xfId="0" applyFill="1" applyBorder="1"/>
    <xf numFmtId="0" fontId="0" fillId="2" borderId="38" xfId="0" applyFill="1" applyBorder="1"/>
    <xf numFmtId="0" fontId="0" fillId="2" borderId="39" xfId="0" applyFill="1" applyBorder="1"/>
    <xf numFmtId="0" fontId="57" fillId="2" borderId="0" xfId="0" applyFont="1" applyFill="1" applyAlignment="1">
      <alignment horizontal="center"/>
    </xf>
    <xf numFmtId="165" fontId="58" fillId="2" borderId="0" xfId="0" applyNumberFormat="1" applyFont="1" applyFill="1" applyAlignment="1">
      <alignment vertical="center"/>
    </xf>
    <xf numFmtId="0" fontId="59" fillId="2" borderId="0" xfId="0" applyFont="1" applyFill="1" applyAlignment="1">
      <alignment horizontal="center"/>
    </xf>
    <xf numFmtId="0" fontId="0" fillId="2" borderId="0" xfId="0" applyFill="1" applyAlignment="1">
      <alignment vertical="center"/>
    </xf>
    <xf numFmtId="0" fontId="0" fillId="2" borderId="0" xfId="0" applyFill="1" applyAlignment="1">
      <alignment horizontal="center" vertical="center"/>
    </xf>
    <xf numFmtId="0" fontId="57" fillId="2" borderId="0" xfId="0" applyFont="1" applyFill="1" applyAlignment="1">
      <alignment horizontal="center" vertical="center"/>
    </xf>
    <xf numFmtId="0" fontId="59" fillId="2" borderId="0" xfId="0" applyFont="1" applyFill="1" applyAlignment="1">
      <alignment horizontal="center" vertical="center"/>
    </xf>
    <xf numFmtId="0" fontId="0" fillId="2" borderId="33" xfId="0" applyFill="1" applyBorder="1" applyAlignment="1">
      <alignment horizontal="center" vertical="center"/>
    </xf>
    <xf numFmtId="2" fontId="58" fillId="2" borderId="32" xfId="0" applyNumberFormat="1" applyFont="1" applyFill="1" applyBorder="1" applyAlignment="1">
      <alignment horizontal="center"/>
    </xf>
    <xf numFmtId="0" fontId="0" fillId="2" borderId="32" xfId="0" applyFill="1" applyBorder="1" applyAlignment="1">
      <alignment horizontal="center" vertical="center"/>
    </xf>
    <xf numFmtId="2" fontId="58" fillId="2" borderId="32" xfId="0" applyNumberFormat="1" applyFont="1" applyFill="1" applyBorder="1" applyAlignment="1">
      <alignment horizontal="center" vertical="center"/>
    </xf>
    <xf numFmtId="0" fontId="60" fillId="13" borderId="0" xfId="0" applyFont="1" applyFill="1"/>
    <xf numFmtId="0" fontId="0" fillId="13" borderId="0" xfId="0" applyFill="1"/>
    <xf numFmtId="0" fontId="14" fillId="13" borderId="0" xfId="0" applyFont="1" applyFill="1"/>
    <xf numFmtId="0" fontId="20" fillId="3" borderId="26" xfId="0" applyFont="1" applyFill="1" applyBorder="1" applyAlignment="1">
      <alignment horizontal="center" vertical="center"/>
    </xf>
    <xf numFmtId="0" fontId="16" fillId="2" borderId="0" xfId="0" applyFont="1" applyFill="1" applyAlignment="1">
      <alignment horizontal="left" vertical="center" wrapText="1"/>
    </xf>
    <xf numFmtId="0" fontId="17" fillId="2" borderId="0" xfId="0" applyFont="1" applyFill="1" applyAlignment="1">
      <alignment horizontal="center" vertical="center" textRotation="90"/>
    </xf>
    <xf numFmtId="0" fontId="18" fillId="16" borderId="27" xfId="0" applyFont="1" applyFill="1" applyBorder="1" applyAlignment="1">
      <alignment horizontal="center" vertical="center"/>
    </xf>
    <xf numFmtId="0" fontId="18" fillId="16" borderId="28" xfId="0" applyFont="1" applyFill="1" applyBorder="1" applyAlignment="1">
      <alignment horizontal="center" vertical="center"/>
    </xf>
    <xf numFmtId="0" fontId="18" fillId="17" borderId="27" xfId="0" applyFont="1" applyFill="1" applyBorder="1" applyAlignment="1">
      <alignment horizontal="center" vertical="center"/>
    </xf>
    <xf numFmtId="0" fontId="18" fillId="17" borderId="24" xfId="0" applyFont="1" applyFill="1" applyBorder="1" applyAlignment="1">
      <alignment horizontal="center" vertical="center"/>
    </xf>
    <xf numFmtId="0" fontId="18" fillId="17" borderId="28" xfId="0" applyFont="1" applyFill="1" applyBorder="1" applyAlignment="1">
      <alignment horizontal="center" vertical="center"/>
    </xf>
    <xf numFmtId="0" fontId="21" fillId="17" borderId="27" xfId="0" applyFont="1" applyFill="1" applyBorder="1" applyAlignment="1">
      <alignment horizontal="center" vertical="center" wrapText="1"/>
    </xf>
    <xf numFmtId="0" fontId="21" fillId="17" borderId="28" xfId="0" applyFont="1" applyFill="1" applyBorder="1" applyAlignment="1">
      <alignment horizontal="center" vertical="center" wrapText="1"/>
    </xf>
    <xf numFmtId="0" fontId="22" fillId="17" borderId="27" xfId="0" applyFont="1" applyFill="1" applyBorder="1" applyAlignment="1">
      <alignment horizontal="center" vertical="center" wrapText="1"/>
    </xf>
    <xf numFmtId="0" fontId="22" fillId="17" borderId="28" xfId="0" applyFont="1" applyFill="1" applyBorder="1" applyAlignment="1">
      <alignment horizontal="center" vertical="center" wrapText="1"/>
    </xf>
    <xf numFmtId="0" fontId="18" fillId="13" borderId="27" xfId="0" applyFont="1" applyFill="1" applyBorder="1" applyAlignment="1" applyProtection="1">
      <alignment horizontal="center" vertical="center" wrapText="1"/>
      <protection locked="0"/>
    </xf>
    <xf numFmtId="0" fontId="18" fillId="13" borderId="28" xfId="0" applyFont="1" applyFill="1" applyBorder="1" applyAlignment="1" applyProtection="1">
      <alignment horizontal="center" vertical="center" wrapText="1"/>
      <protection locked="0"/>
    </xf>
    <xf numFmtId="0" fontId="21" fillId="17" borderId="24" xfId="0" applyFont="1" applyFill="1" applyBorder="1" applyAlignment="1">
      <alignment horizontal="center" vertical="center" wrapText="1"/>
    </xf>
    <xf numFmtId="0" fontId="18" fillId="13" borderId="24" xfId="0" applyFont="1" applyFill="1" applyBorder="1" applyAlignment="1" applyProtection="1">
      <alignment horizontal="center" vertical="center" wrapText="1"/>
      <protection locked="0"/>
    </xf>
    <xf numFmtId="0" fontId="22" fillId="17" borderId="24" xfId="0" applyFont="1" applyFill="1" applyBorder="1" applyAlignment="1">
      <alignment horizontal="center" vertical="center" wrapText="1"/>
    </xf>
    <xf numFmtId="0" fontId="17" fillId="2" borderId="0" xfId="0" applyFont="1" applyFill="1" applyAlignment="1">
      <alignment horizontal="center" vertical="center" textRotation="90" wrapText="1"/>
    </xf>
    <xf numFmtId="0" fontId="20" fillId="2" borderId="0" xfId="0" applyFont="1" applyFill="1" applyAlignment="1">
      <alignment horizontal="center" vertical="center"/>
    </xf>
    <xf numFmtId="0" fontId="21" fillId="2" borderId="0" xfId="0" applyFont="1" applyFill="1" applyAlignment="1">
      <alignment horizontal="center" vertical="center" wrapText="1"/>
    </xf>
    <xf numFmtId="0" fontId="22" fillId="2" borderId="0" xfId="0" applyFont="1" applyFill="1" applyAlignment="1">
      <alignment horizontal="center" vertical="center" wrapText="1"/>
    </xf>
    <xf numFmtId="0" fontId="26" fillId="2" borderId="0" xfId="0" applyFont="1" applyFill="1" applyAlignment="1">
      <alignment horizontal="center" vertical="center" wrapText="1"/>
    </xf>
    <xf numFmtId="0" fontId="18" fillId="2" borderId="0" xfId="0" applyFont="1" applyFill="1" applyAlignment="1">
      <alignment horizontal="center" vertical="center"/>
    </xf>
    <xf numFmtId="0" fontId="14" fillId="13" borderId="0" xfId="0" applyFont="1" applyFill="1" applyAlignment="1">
      <alignment horizontal="left"/>
    </xf>
    <xf numFmtId="0" fontId="29" fillId="2" borderId="0" xfId="0" applyFont="1" applyFill="1" applyAlignment="1">
      <alignment horizontal="center" vertical="center" textRotation="90"/>
    </xf>
    <xf numFmtId="0" fontId="25" fillId="2" borderId="33" xfId="0" applyFont="1" applyFill="1" applyBorder="1" applyAlignment="1">
      <alignment horizontal="center" wrapText="1"/>
    </xf>
    <xf numFmtId="0" fontId="25" fillId="2" borderId="0" xfId="0" applyFont="1" applyFill="1" applyAlignment="1">
      <alignment horizontal="center" wrapText="1"/>
    </xf>
    <xf numFmtId="0" fontId="25" fillId="2" borderId="32" xfId="0" applyFont="1" applyFill="1" applyBorder="1" applyAlignment="1">
      <alignment horizontal="center" wrapText="1"/>
    </xf>
    <xf numFmtId="0" fontId="15" fillId="2" borderId="29" xfId="0" applyFont="1" applyFill="1" applyBorder="1" applyAlignment="1">
      <alignment horizontal="left"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9" fontId="25" fillId="2" borderId="0" xfId="1" applyFont="1" applyFill="1" applyBorder="1" applyAlignment="1">
      <alignment horizontal="center" vertical="center"/>
    </xf>
    <xf numFmtId="0" fontId="23" fillId="2" borderId="3"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5" xfId="0" applyFont="1" applyFill="1" applyBorder="1" applyAlignment="1">
      <alignment horizontal="center" vertical="center"/>
    </xf>
    <xf numFmtId="0" fontId="23" fillId="2" borderId="16" xfId="0" applyFont="1" applyFill="1" applyBorder="1" applyAlignment="1">
      <alignment horizontal="center" vertical="center"/>
    </xf>
    <xf numFmtId="0" fontId="23" fillId="2" borderId="17" xfId="0" applyFont="1" applyFill="1" applyBorder="1" applyAlignment="1">
      <alignment horizontal="center" vertical="center"/>
    </xf>
    <xf numFmtId="0" fontId="23" fillId="2" borderId="18" xfId="0" applyFont="1" applyFill="1" applyBorder="1" applyAlignment="1">
      <alignment horizontal="center" vertical="center"/>
    </xf>
    <xf numFmtId="0" fontId="25" fillId="2" borderId="0" xfId="1" applyNumberFormat="1" applyFont="1" applyFill="1" applyBorder="1" applyAlignment="1">
      <alignment horizontal="center" vertical="center"/>
    </xf>
    <xf numFmtId="0" fontId="25" fillId="2" borderId="0" xfId="0" applyFont="1" applyFill="1" applyAlignment="1">
      <alignment horizontal="center" vertical="center" wrapText="1"/>
    </xf>
    <xf numFmtId="2" fontId="25" fillId="2" borderId="0" xfId="0" applyNumberFormat="1" applyFont="1" applyFill="1" applyAlignment="1">
      <alignment horizontal="center" vertical="center"/>
    </xf>
    <xf numFmtId="0" fontId="29" fillId="11" borderId="0" xfId="0" applyFont="1" applyFill="1" applyAlignment="1">
      <alignment horizontal="center" vertical="center" textRotation="90"/>
    </xf>
    <xf numFmtId="0" fontId="29" fillId="13" borderId="0" xfId="0" applyFont="1" applyFill="1" applyAlignment="1">
      <alignment horizontal="center" vertical="center" textRotation="90"/>
    </xf>
    <xf numFmtId="0" fontId="31" fillId="2" borderId="0" xfId="0" applyFont="1" applyFill="1" applyAlignment="1">
      <alignment horizontal="center" vertical="center"/>
    </xf>
    <xf numFmtId="0" fontId="31" fillId="2" borderId="20" xfId="0" applyFont="1" applyFill="1" applyBorder="1" applyAlignment="1">
      <alignment horizontal="center" vertical="center"/>
    </xf>
    <xf numFmtId="0" fontId="25" fillId="2" borderId="17" xfId="0" applyFont="1" applyFill="1" applyBorder="1" applyAlignment="1">
      <alignment horizontal="center" vertical="center"/>
    </xf>
    <xf numFmtId="0" fontId="25" fillId="2" borderId="0" xfId="0" applyFont="1" applyFill="1" applyAlignment="1">
      <alignment horizontal="center" vertical="center"/>
    </xf>
    <xf numFmtId="165" fontId="25" fillId="2" borderId="17" xfId="0" applyNumberFormat="1" applyFont="1" applyFill="1" applyBorder="1" applyAlignment="1">
      <alignment horizontal="center" vertical="center"/>
    </xf>
    <xf numFmtId="165" fontId="25" fillId="2" borderId="0" xfId="0" applyNumberFormat="1" applyFont="1" applyFill="1" applyAlignment="1">
      <alignment horizontal="center" vertical="center"/>
    </xf>
    <xf numFmtId="9" fontId="25" fillId="2" borderId="17" xfId="1" applyFont="1" applyFill="1" applyBorder="1" applyAlignment="1">
      <alignment horizontal="center" vertical="center"/>
    </xf>
    <xf numFmtId="0" fontId="25" fillId="2" borderId="17" xfId="1" applyNumberFormat="1" applyFont="1" applyFill="1" applyBorder="1" applyAlignment="1">
      <alignment horizontal="center" vertical="center"/>
    </xf>
    <xf numFmtId="0" fontId="15" fillId="11" borderId="6"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3" fillId="11" borderId="0" xfId="0" applyFont="1" applyFill="1" applyAlignment="1">
      <alignment horizontal="center" vertical="center" textRotation="90"/>
    </xf>
    <xf numFmtId="0" fontId="38" fillId="13" borderId="0" xfId="0" applyFont="1" applyFill="1" applyAlignment="1">
      <alignment horizontal="center" vertical="center" textRotation="90"/>
    </xf>
    <xf numFmtId="0" fontId="15" fillId="13" borderId="6" xfId="0" applyFont="1" applyFill="1" applyBorder="1" applyAlignment="1">
      <alignment horizontal="center" vertical="center" wrapText="1"/>
    </xf>
    <xf numFmtId="168" fontId="4" fillId="0" borderId="0" xfId="0" applyNumberFormat="1" applyFont="1" applyAlignment="1">
      <alignment vertical="center" wrapText="1"/>
    </xf>
    <xf numFmtId="0" fontId="2" fillId="21" borderId="0" xfId="0" applyFont="1" applyFill="1" applyAlignment="1">
      <alignment vertical="center"/>
    </xf>
    <xf numFmtId="0" fontId="31" fillId="2" borderId="29" xfId="0" applyFont="1" applyFill="1" applyBorder="1" applyAlignment="1">
      <alignment horizontal="center" vertical="center" textRotation="90" wrapText="1"/>
    </xf>
    <xf numFmtId="0" fontId="31" fillId="2" borderId="30" xfId="0" applyFont="1" applyFill="1" applyBorder="1" applyAlignment="1">
      <alignment horizontal="center" vertical="center" textRotation="90" wrapText="1"/>
    </xf>
    <xf numFmtId="0" fontId="31" fillId="2" borderId="31" xfId="0" applyFont="1" applyFill="1" applyBorder="1" applyAlignment="1">
      <alignment horizontal="center" vertical="center" textRotation="90" wrapText="1"/>
    </xf>
    <xf numFmtId="0" fontId="41" fillId="2" borderId="0" xfId="0" applyFont="1" applyFill="1" applyAlignment="1">
      <alignment horizontal="center"/>
    </xf>
    <xf numFmtId="0" fontId="34" fillId="2" borderId="2" xfId="0" applyFont="1" applyFill="1" applyBorder="1" applyAlignment="1">
      <alignment horizontal="center"/>
    </xf>
    <xf numFmtId="0" fontId="34" fillId="2" borderId="2" xfId="0" applyFont="1" applyFill="1" applyBorder="1" applyAlignment="1">
      <alignment horizontal="center" vertical="center"/>
    </xf>
    <xf numFmtId="0" fontId="34" fillId="2" borderId="0" xfId="0" applyFont="1" applyFill="1" applyAlignment="1">
      <alignment horizontal="center"/>
    </xf>
    <xf numFmtId="0" fontId="49" fillId="10" borderId="4" xfId="0" applyFont="1" applyFill="1" applyBorder="1" applyAlignment="1">
      <alignment horizontal="center" vertical="center"/>
    </xf>
    <xf numFmtId="0" fontId="49" fillId="10" borderId="5" xfId="0" applyFont="1" applyFill="1" applyBorder="1" applyAlignment="1">
      <alignment horizontal="center" vertical="center"/>
    </xf>
    <xf numFmtId="0" fontId="30" fillId="11" borderId="0" xfId="0" applyFont="1" applyFill="1" applyAlignment="1">
      <alignment horizontal="center" vertical="center" textRotation="90"/>
    </xf>
    <xf numFmtId="0" fontId="15" fillId="11" borderId="0" xfId="0" applyFont="1" applyFill="1" applyAlignment="1">
      <alignment horizontal="center" vertical="center" textRotation="90"/>
    </xf>
    <xf numFmtId="0" fontId="30" fillId="13" borderId="0" xfId="0" applyFont="1" applyFill="1" applyAlignment="1">
      <alignment horizontal="center" vertical="center" textRotation="90"/>
    </xf>
  </cellXfs>
  <cellStyles count="8">
    <cellStyle name="Excel Built-in Normal" xfId="6" xr:uid="{995B1560-08D4-44FF-8C6D-FC8A0C238558}"/>
    <cellStyle name="Komma 2" xfId="7" xr:uid="{235777A9-C6DA-42FB-9E00-BAF3BBA67C98}"/>
    <cellStyle name="Link" xfId="2" builtinId="8"/>
    <cellStyle name="Normal" xfId="0" builtinId="0"/>
    <cellStyle name="Normal 2" xfId="4" xr:uid="{0CC08BE7-135F-4A84-A8BB-B7EE4D054613}"/>
    <cellStyle name="Normal 3" xfId="5" xr:uid="{44C64B00-7676-4644-8679-DD7CE8E2C6D5}"/>
    <cellStyle name="Procent" xfId="1" builtinId="5"/>
    <cellStyle name="Valuta" xfId="3" builtinId="4"/>
  </cellStyles>
  <dxfs count="5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theme="8" tint="-0.24994659260841701"/>
      </font>
      <fill>
        <patternFill>
          <bgColor theme="8" tint="0.79998168889431442"/>
        </patternFill>
      </fill>
    </dxf>
    <dxf>
      <font>
        <color rgb="FF006100"/>
      </font>
      <fill>
        <patternFill>
          <bgColor rgb="FFC6EFCE"/>
        </patternFill>
      </fill>
    </dxf>
    <dxf>
      <font>
        <color rgb="FF9C5700"/>
      </font>
      <fill>
        <patternFill>
          <bgColor rgb="FFFFEB9C"/>
        </patternFill>
      </fill>
    </dxf>
    <dxf>
      <font>
        <color theme="8" tint="-0.24994659260841701"/>
      </font>
      <fill>
        <patternFill>
          <bgColor theme="8" tint="0.79998168889431442"/>
        </patternFill>
      </fill>
    </dxf>
    <dxf>
      <font>
        <color rgb="FF006100"/>
      </font>
      <fill>
        <patternFill>
          <bgColor rgb="FFC6EFCE"/>
        </patternFill>
      </fill>
    </dxf>
    <dxf>
      <font>
        <color rgb="FF9C5700"/>
      </font>
      <fill>
        <patternFill>
          <bgColor rgb="FFFFEB9C"/>
        </patternFill>
      </fill>
    </dxf>
    <dxf>
      <font>
        <color theme="8" tint="-0.24994659260841701"/>
      </font>
      <fill>
        <patternFill>
          <bgColor theme="8" tint="0.79998168889431442"/>
        </patternFill>
      </fill>
    </dxf>
    <dxf>
      <font>
        <color rgb="FF006100"/>
      </font>
      <fill>
        <patternFill>
          <bgColor rgb="FFC6EFCE"/>
        </patternFill>
      </fill>
    </dxf>
    <dxf>
      <font>
        <color rgb="FF9C5700"/>
      </font>
      <fill>
        <patternFill>
          <bgColor rgb="FFFFEB9C"/>
        </patternFill>
      </fill>
    </dxf>
    <dxf>
      <font>
        <color theme="8" tint="-0.24994659260841701"/>
      </font>
      <fill>
        <patternFill>
          <bgColor theme="8" tint="0.7999816888943144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theme="8" tint="-0.24994659260841701"/>
      </font>
      <fill>
        <patternFill>
          <bgColor theme="8" tint="0.79998168889431442"/>
        </patternFill>
      </fill>
    </dxf>
    <dxf>
      <font>
        <color rgb="FF9C5700"/>
      </font>
      <fill>
        <patternFill>
          <bgColor rgb="FFFFEB9C"/>
        </patternFill>
      </fill>
    </dxf>
    <dxf>
      <font>
        <color rgb="FF006100"/>
      </font>
      <fill>
        <patternFill>
          <bgColor rgb="FFC6EFCE"/>
        </patternFill>
      </fill>
    </dxf>
    <dxf>
      <font>
        <color theme="8" tint="-0.24994659260841701"/>
      </font>
      <fill>
        <patternFill>
          <bgColor theme="8" tint="0.79998168889431442"/>
        </patternFill>
      </fill>
    </dxf>
    <dxf>
      <font>
        <color theme="8" tint="-0.24994659260841701"/>
      </font>
      <fill>
        <patternFill>
          <bgColor theme="8" tint="0.79998168889431442"/>
        </patternFill>
      </fill>
    </dxf>
    <dxf>
      <font>
        <color rgb="FF9C5700"/>
      </font>
      <fill>
        <patternFill>
          <bgColor rgb="FFFFEB9C"/>
        </patternFill>
      </fill>
    </dxf>
    <dxf>
      <font>
        <color theme="8" tint="-0.24994659260841701"/>
      </font>
      <fill>
        <patternFill>
          <bgColor theme="8" tint="0.79998168889431442"/>
        </patternFill>
      </fill>
    </dxf>
    <dxf>
      <font>
        <color rgb="FF006100"/>
      </font>
      <fill>
        <patternFill>
          <bgColor rgb="FFC6EFCE"/>
        </patternFill>
      </fill>
    </dxf>
    <dxf>
      <font>
        <color rgb="FF9C5700"/>
      </font>
      <fill>
        <patternFill>
          <bgColor rgb="FFFFEB9C"/>
        </patternFill>
      </fill>
    </dxf>
    <dxf>
      <font>
        <color rgb="FFC00000"/>
      </font>
      <fill>
        <patternFill>
          <bgColor rgb="FFFFCCCC"/>
        </patternFill>
      </fill>
    </dxf>
  </dxfs>
  <tableStyles count="1" defaultTableStyle="TableStyleMedium2" defaultPivotStyle="PivotStyleLight16">
    <tableStyle name="Invisible" pivot="0" table="0" count="0" xr9:uid="{E6CE9A30-58DD-4159-BB8F-AC8E9025A0EA}"/>
  </tableStyles>
  <colors>
    <mruColors>
      <color rgb="FFDDEBD2"/>
      <color rgb="FFFFCCCC"/>
      <color rgb="FFF9F9F9"/>
      <color rgb="FFFFFBEF"/>
      <color rgb="FFF2F8EE"/>
      <color rgb="FFF5F9FD"/>
      <color rgb="FFFCFDFE"/>
      <color rgb="FFDFE7F5"/>
      <color rgb="FFF3F6FB"/>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2.png"/><Relationship Id="rId7" Type="http://schemas.openxmlformats.org/officeDocument/2006/relationships/image" Target="../media/image6.png"/><Relationship Id="rId2" Type="http://schemas.microsoft.com/office/2007/relationships/hdphoto" Target="../media/hdphoto1.wdp"/><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9525</xdr:rowOff>
    </xdr:from>
    <xdr:to>
      <xdr:col>13</xdr:col>
      <xdr:colOff>47625</xdr:colOff>
      <xdr:row>38</xdr:row>
      <xdr:rowOff>175177</xdr:rowOff>
    </xdr:to>
    <xdr:sp macro="" textlink="">
      <xdr:nvSpPr>
        <xdr:cNvPr id="2" name="Tekstfelt 1">
          <a:extLst>
            <a:ext uri="{FF2B5EF4-FFF2-40B4-BE49-F238E27FC236}">
              <a16:creationId xmlns:a16="http://schemas.microsoft.com/office/drawing/2014/main" id="{30C512E6-463D-453A-B31F-C8EC22BE6424}"/>
            </a:ext>
          </a:extLst>
        </xdr:cNvPr>
        <xdr:cNvSpPr txBox="1"/>
      </xdr:nvSpPr>
      <xdr:spPr>
        <a:xfrm>
          <a:off x="0" y="419100"/>
          <a:ext cx="7972425" cy="72141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000" b="1">
              <a:solidFill>
                <a:schemeClr val="dk1"/>
              </a:solidFill>
              <a:effectLst/>
              <a:latin typeface="Century Gothic" panose="020B0502020202020204" pitchFamily="34" charset="0"/>
              <a:ea typeface="+mn-ea"/>
              <a:cs typeface="+mn-cs"/>
            </a:rPr>
            <a:t>Introduktion til</a:t>
          </a:r>
          <a:r>
            <a:rPr lang="da-DK" sz="1000" b="1" baseline="0">
              <a:solidFill>
                <a:schemeClr val="dk1"/>
              </a:solidFill>
              <a:effectLst/>
              <a:latin typeface="Century Gothic" panose="020B0502020202020204" pitchFamily="34" charset="0"/>
              <a:ea typeface="+mn-ea"/>
              <a:cs typeface="+mn-cs"/>
            </a:rPr>
            <a:t> "Værktøj til Materialescreening" </a:t>
          </a:r>
          <a:br>
            <a:rPr lang="da-DK" sz="1000" b="1" baseline="0">
              <a:solidFill>
                <a:schemeClr val="dk1"/>
              </a:solidFill>
              <a:effectLst/>
              <a:latin typeface="Century Gothic" panose="020B0502020202020204" pitchFamily="34" charset="0"/>
              <a:ea typeface="+mn-ea"/>
              <a:cs typeface="+mn-cs"/>
            </a:rPr>
          </a:br>
          <a:r>
            <a:rPr lang="en-GB" sz="1000">
              <a:solidFill>
                <a:schemeClr val="dk1"/>
              </a:solidFill>
              <a:effectLst/>
              <a:latin typeface="Century Gothic" panose="020B0502020202020204" pitchFamily="34" charset="0"/>
              <a:ea typeface="+mn-ea"/>
              <a:cs typeface="+mn-cs"/>
            </a:rPr>
            <a:t>Dette værktøj er udviklet af Lendager Group for Teknik- og Miljøforvaltningens afdeling for gårdhaverenoveringer. </a:t>
          </a:r>
        </a:p>
        <a:p>
          <a:endParaRPr lang="da-DK" sz="1000" b="0">
            <a:solidFill>
              <a:schemeClr val="dk1"/>
            </a:solidFill>
            <a:effectLst/>
            <a:latin typeface="Century Gothic" panose="020B0502020202020204" pitchFamily="34" charset="0"/>
            <a:ea typeface="+mn-ea"/>
            <a:cs typeface="+mn-cs"/>
          </a:endParaRPr>
        </a:p>
        <a:p>
          <a:r>
            <a:rPr lang="da-DK" sz="1000" b="1">
              <a:solidFill>
                <a:schemeClr val="dk1"/>
              </a:solidFill>
              <a:effectLst/>
              <a:latin typeface="Century Gothic" panose="020B0502020202020204" pitchFamily="34" charset="0"/>
              <a:ea typeface="+mn-ea"/>
              <a:cs typeface="+mn-cs"/>
            </a:rPr>
            <a:t>Formål med værktøjet:</a:t>
          </a:r>
          <a:endParaRPr lang="en-DK" sz="1000" b="1">
            <a:solidFill>
              <a:schemeClr val="dk1"/>
            </a:solidFill>
            <a:effectLst/>
            <a:latin typeface="Century Gothic" panose="020B0502020202020204" pitchFamily="34" charset="0"/>
            <a:ea typeface="+mn-ea"/>
            <a:cs typeface="+mn-cs"/>
          </a:endParaRPr>
        </a:p>
        <a:p>
          <a:r>
            <a:rPr lang="da-DK" sz="1000">
              <a:solidFill>
                <a:schemeClr val="dk1"/>
              </a:solidFill>
              <a:effectLst/>
              <a:latin typeface="Century Gothic" panose="020B0502020202020204" pitchFamily="34" charset="0"/>
              <a:ea typeface="+mn-ea"/>
              <a:cs typeface="+mn-cs"/>
            </a:rPr>
            <a:t>Formålet med værktøjet er at screene materialer for cirkulering ved gårdhaverenoveringer. På baggrund af screeningen anbefales den optimale metode til cirkulering af materialerne 1)</a:t>
          </a:r>
          <a:r>
            <a:rPr lang="da-DK" sz="1000" baseline="0">
              <a:solidFill>
                <a:schemeClr val="dk1"/>
              </a:solidFill>
              <a:effectLst/>
              <a:latin typeface="Century Gothic" panose="020B0502020202020204" pitchFamily="34" charset="0"/>
              <a:ea typeface="+mn-ea"/>
              <a:cs typeface="+mn-cs"/>
            </a:rPr>
            <a:t> jord, 2) asfalt og 3) beton</a:t>
          </a:r>
          <a:r>
            <a:rPr lang="da-DK" sz="1000">
              <a:solidFill>
                <a:schemeClr val="dk1"/>
              </a:solidFill>
              <a:effectLst/>
              <a:latin typeface="Century Gothic" panose="020B0502020202020204" pitchFamily="34" charset="0"/>
              <a:ea typeface="+mn-ea"/>
              <a:cs typeface="+mn-cs"/>
            </a:rPr>
            <a:t>. </a:t>
          </a:r>
          <a:br>
            <a:rPr lang="da-DK" sz="1000">
              <a:solidFill>
                <a:schemeClr val="dk1"/>
              </a:solidFill>
              <a:effectLst/>
              <a:latin typeface="Century Gothic" panose="020B0502020202020204" pitchFamily="34" charset="0"/>
              <a:ea typeface="+mn-ea"/>
              <a:cs typeface="+mn-cs"/>
            </a:rPr>
          </a:br>
          <a:br>
            <a:rPr lang="da-DK" sz="1000">
              <a:solidFill>
                <a:schemeClr val="dk1"/>
              </a:solidFill>
              <a:effectLst/>
              <a:latin typeface="Century Gothic" panose="020B0502020202020204" pitchFamily="34" charset="0"/>
              <a:ea typeface="+mn-ea"/>
              <a:cs typeface="+mn-cs"/>
            </a:rPr>
          </a:br>
          <a:r>
            <a:rPr lang="da-DK" sz="1000">
              <a:solidFill>
                <a:schemeClr val="dk1"/>
              </a:solidFill>
              <a:effectLst/>
              <a:latin typeface="Century Gothic" panose="020B0502020202020204" pitchFamily="34" charset="0"/>
              <a:ea typeface="+mn-ea"/>
              <a:cs typeface="+mn-cs"/>
            </a:rPr>
            <a:t>Værktøjet er programmeret til at pege på det cirkuleringsgreb, der muliggør den største CO2-mæssige besparelse i projektet. Dette er som oftest ved direkte genbrug af materialerne, da denne proces kræver minimal tilførsel af jomfruelige materialer samt energitilførsel. Værktøjet vurderer derfor</a:t>
          </a:r>
          <a:r>
            <a:rPr lang="da-DK" sz="1000" baseline="0">
              <a:solidFill>
                <a:schemeClr val="dk1"/>
              </a:solidFill>
              <a:effectLst/>
              <a:latin typeface="Century Gothic" panose="020B0502020202020204" pitchFamily="34" charset="0"/>
              <a:ea typeface="+mn-ea"/>
              <a:cs typeface="+mn-cs"/>
            </a:rPr>
            <a:t> på baggrund af en række parametre, hvorvidt det er muligt at genbruge materialerne eller ej. </a:t>
          </a:r>
          <a:r>
            <a:rPr lang="da-DK" sz="1000">
              <a:solidFill>
                <a:schemeClr val="dk1"/>
              </a:solidFill>
              <a:effectLst/>
              <a:latin typeface="Century Gothic" panose="020B0502020202020204" pitchFamily="34" charset="0"/>
              <a:ea typeface="+mn-ea"/>
              <a:cs typeface="+mn-cs"/>
            </a:rPr>
            <a:t>Er direkte genbrug ikke muligt, foreslås en alternativ genanvendelsesform, som enten kan betragtes som upcycling eller downcycling, afhængigt af, hvilken værdi materialet anvendes til i sin nye funktion.  </a:t>
          </a:r>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r>
            <a:rPr lang="da-DK" sz="1000" b="1">
              <a:solidFill>
                <a:schemeClr val="dk1"/>
              </a:solidFill>
              <a:effectLst/>
              <a:latin typeface="Century Gothic" panose="020B0502020202020204" pitchFamily="34" charset="0"/>
              <a:ea typeface="+mn-ea"/>
              <a:cs typeface="+mn-cs"/>
            </a:rPr>
            <a:t>Hvornår skal jeg anvende værktøjet?</a:t>
          </a:r>
          <a:endParaRPr lang="en-DK" sz="1000">
            <a:solidFill>
              <a:schemeClr val="dk1"/>
            </a:solidFill>
            <a:effectLst/>
            <a:latin typeface="Century Gothic" panose="020B0502020202020204" pitchFamily="34" charset="0"/>
            <a:ea typeface="+mn-ea"/>
            <a:cs typeface="+mn-cs"/>
          </a:endParaRPr>
        </a:p>
        <a:p>
          <a:r>
            <a:rPr lang="da-DK" sz="1000">
              <a:solidFill>
                <a:schemeClr val="dk1"/>
              </a:solidFill>
              <a:effectLst/>
              <a:latin typeface="Century Gothic" panose="020B0502020202020204" pitchFamily="34" charset="0"/>
              <a:ea typeface="+mn-ea"/>
              <a:cs typeface="+mn-cs"/>
            </a:rPr>
            <a:t>Screeningsværktøjet er udviklet til projektledere og nøglepersonale i TMF, og skal bruges, når besigtigelser af gårdhaver gennemføres. Dette så tidligt</a:t>
          </a:r>
          <a:r>
            <a:rPr lang="da-DK" sz="1000" baseline="0">
              <a:solidFill>
                <a:schemeClr val="dk1"/>
              </a:solidFill>
              <a:effectLst/>
              <a:latin typeface="Century Gothic" panose="020B0502020202020204" pitchFamily="34" charset="0"/>
              <a:ea typeface="+mn-ea"/>
              <a:cs typeface="+mn-cs"/>
            </a:rPr>
            <a:t> i anlægsfasen som muligt, så resultater kan forme beslutninger og udbudsmateriale i de kommende faser</a:t>
          </a:r>
          <a:r>
            <a:rPr lang="da-DK" sz="1000">
              <a:solidFill>
                <a:schemeClr val="dk1"/>
              </a:solidFill>
              <a:effectLst/>
              <a:latin typeface="Century Gothic" panose="020B0502020202020204" pitchFamily="34" charset="0"/>
              <a:ea typeface="+mn-ea"/>
              <a:cs typeface="+mn-cs"/>
            </a:rPr>
            <a:t>.</a:t>
          </a:r>
          <a:r>
            <a:rPr lang="da-DK" sz="1000" baseline="0">
              <a:solidFill>
                <a:schemeClr val="dk1"/>
              </a:solidFill>
              <a:effectLst/>
              <a:latin typeface="Century Gothic" panose="020B0502020202020204" pitchFamily="34" charset="0"/>
              <a:ea typeface="+mn-ea"/>
              <a:cs typeface="+mn-cs"/>
            </a:rPr>
            <a:t> </a:t>
          </a:r>
          <a:r>
            <a:rPr lang="da-DK" sz="1000">
              <a:solidFill>
                <a:schemeClr val="dk1"/>
              </a:solidFill>
              <a:effectLst/>
              <a:latin typeface="Century Gothic" panose="020B0502020202020204" pitchFamily="34" charset="0"/>
              <a:ea typeface="+mn-ea"/>
              <a:cs typeface="+mn-cs"/>
            </a:rPr>
            <a:t>Du kan læse</a:t>
          </a:r>
          <a:r>
            <a:rPr lang="da-DK" sz="1000" baseline="0">
              <a:solidFill>
                <a:schemeClr val="dk1"/>
              </a:solidFill>
              <a:effectLst/>
              <a:latin typeface="Century Gothic" panose="020B0502020202020204" pitchFamily="34" charset="0"/>
              <a:ea typeface="+mn-ea"/>
              <a:cs typeface="+mn-cs"/>
            </a:rPr>
            <a:t> mere om, </a:t>
          </a:r>
          <a:r>
            <a:rPr lang="da-DK" sz="1000">
              <a:solidFill>
                <a:schemeClr val="dk1"/>
              </a:solidFill>
              <a:effectLst/>
              <a:latin typeface="Century Gothic" panose="020B0502020202020204" pitchFamily="34" charset="0"/>
              <a:ea typeface="+mn-ea"/>
              <a:cs typeface="+mn-cs"/>
            </a:rPr>
            <a:t>hvornår screeningsværktøjet skal i brug,</a:t>
          </a:r>
          <a:r>
            <a:rPr lang="da-DK" sz="1000" baseline="0">
              <a:solidFill>
                <a:schemeClr val="dk1"/>
              </a:solidFill>
              <a:effectLst/>
              <a:latin typeface="Century Gothic" panose="020B0502020202020204" pitchFamily="34" charset="0"/>
              <a:ea typeface="+mn-ea"/>
              <a:cs typeface="+mn-cs"/>
            </a:rPr>
            <a:t> i </a:t>
          </a:r>
          <a:r>
            <a:rPr lang="da-DK" sz="1000">
              <a:solidFill>
                <a:schemeClr val="dk1"/>
              </a:solidFill>
              <a:effectLst/>
              <a:latin typeface="Century Gothic" panose="020B0502020202020204" pitchFamily="34" charset="0"/>
              <a:ea typeface="+mn-ea"/>
              <a:cs typeface="+mn-cs"/>
            </a:rPr>
            <a:t>Teknik</a:t>
          </a:r>
          <a:r>
            <a:rPr lang="da-DK" sz="1000" baseline="0">
              <a:solidFill>
                <a:schemeClr val="dk1"/>
              </a:solidFill>
              <a:effectLst/>
              <a:latin typeface="Century Gothic" panose="020B0502020202020204" pitchFamily="34" charset="0"/>
              <a:ea typeface="+mn-ea"/>
              <a:cs typeface="+mn-cs"/>
            </a:rPr>
            <a:t>- og Miljøforvaltningens "Værktøj til implementering af cirkulær økonomi i renoveringsprojekter". </a:t>
          </a:r>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a:p>
          <a:r>
            <a:rPr lang="da-DK" sz="1000" b="1">
              <a:solidFill>
                <a:schemeClr val="dk1"/>
              </a:solidFill>
              <a:effectLst/>
              <a:latin typeface="Century Gothic" panose="020B0502020202020204" pitchFamily="34" charset="0"/>
              <a:ea typeface="+mn-ea"/>
              <a:cs typeface="+mn-cs"/>
            </a:rPr>
            <a:t>Hvordan bruger jeg værktøjet?</a:t>
          </a:r>
        </a:p>
        <a:p>
          <a:endParaRPr lang="da-DK" sz="1000" b="1">
            <a:solidFill>
              <a:schemeClr val="dk1"/>
            </a:solidFill>
            <a:effectLst/>
            <a:latin typeface="Century Gothic" panose="020B0502020202020204" pitchFamily="34" charset="0"/>
            <a:ea typeface="+mn-ea"/>
            <a:cs typeface="+mn-cs"/>
          </a:endParaRPr>
        </a:p>
        <a:p>
          <a:r>
            <a:rPr lang="da-DK" sz="1000" b="0">
              <a:solidFill>
                <a:schemeClr val="dk1"/>
              </a:solidFill>
              <a:effectLst/>
              <a:latin typeface="Century Gothic" panose="020B0502020202020204" pitchFamily="34" charset="0"/>
              <a:ea typeface="+mn-ea"/>
              <a:cs typeface="+mn-cs"/>
            </a:rPr>
            <a:t>Værktøjet</a:t>
          </a:r>
          <a:r>
            <a:rPr lang="da-DK" sz="1000" b="0" baseline="0">
              <a:solidFill>
                <a:schemeClr val="dk1"/>
              </a:solidFill>
              <a:effectLst/>
              <a:latin typeface="Century Gothic" panose="020B0502020202020204" pitchFamily="34" charset="0"/>
              <a:ea typeface="+mn-ea"/>
              <a:cs typeface="+mn-cs"/>
            </a:rPr>
            <a:t> er delt op i 3 ark. Her følger en kort introduktion til de enkelte arks virke og betydning. </a:t>
          </a:r>
          <a:endParaRPr lang="da-DK" sz="1000" b="0">
            <a:solidFill>
              <a:schemeClr val="dk1"/>
            </a:solidFill>
            <a:effectLst/>
            <a:latin typeface="Century Gothic" panose="020B0502020202020204" pitchFamily="34" charset="0"/>
            <a:ea typeface="+mn-ea"/>
            <a:cs typeface="+mn-cs"/>
          </a:endParaRPr>
        </a:p>
        <a:p>
          <a:pPr lvl="1"/>
          <a:br>
            <a:rPr lang="da-DK" sz="1000">
              <a:solidFill>
                <a:schemeClr val="dk1"/>
              </a:solidFill>
              <a:effectLst/>
              <a:latin typeface="Century Gothic" panose="020B0502020202020204" pitchFamily="34" charset="0"/>
              <a:ea typeface="+mn-ea"/>
              <a:cs typeface="+mn-cs"/>
            </a:rPr>
          </a:br>
          <a:r>
            <a:rPr lang="da-DK" sz="1000" b="1">
              <a:solidFill>
                <a:schemeClr val="dk1"/>
              </a:solidFill>
              <a:effectLst/>
              <a:latin typeface="Century Gothic" panose="020B0502020202020204" pitchFamily="34" charset="0"/>
              <a:ea typeface="+mn-ea"/>
              <a:cs typeface="+mn-cs"/>
            </a:rPr>
            <a:t>ARK</a:t>
          </a:r>
          <a:r>
            <a:rPr lang="da-DK" sz="1000" b="1" baseline="0">
              <a:solidFill>
                <a:schemeClr val="dk1"/>
              </a:solidFill>
              <a:effectLst/>
              <a:latin typeface="Century Gothic" panose="020B0502020202020204" pitchFamily="34" charset="0"/>
              <a:ea typeface="+mn-ea"/>
              <a:cs typeface="+mn-cs"/>
            </a:rPr>
            <a:t> 1 - </a:t>
          </a:r>
          <a:r>
            <a:rPr lang="da-DK" sz="1000" b="1">
              <a:solidFill>
                <a:schemeClr val="dk1"/>
              </a:solidFill>
              <a:effectLst/>
              <a:latin typeface="Century Gothic" panose="020B0502020202020204" pitchFamily="34" charset="0"/>
              <a:ea typeface="+mn-ea"/>
              <a:cs typeface="+mn-cs"/>
            </a:rPr>
            <a:t>INPUT: </a:t>
          </a:r>
          <a:endParaRPr lang="en-DK" sz="1000">
            <a:solidFill>
              <a:schemeClr val="dk1"/>
            </a:solidFill>
            <a:effectLst/>
            <a:latin typeface="Century Gothic" panose="020B0502020202020204" pitchFamily="34" charset="0"/>
            <a:ea typeface="+mn-ea"/>
            <a:cs typeface="+mn-cs"/>
          </a:endParaRPr>
        </a:p>
        <a:p>
          <a:pPr lvl="1"/>
          <a:r>
            <a:rPr lang="da-DK" sz="1000">
              <a:solidFill>
                <a:schemeClr val="dk1"/>
              </a:solidFill>
              <a:effectLst/>
              <a:latin typeface="Century Gothic" panose="020B0502020202020204" pitchFamily="34" charset="0"/>
              <a:ea typeface="+mn-ea"/>
              <a:cs typeface="+mn-cs"/>
            </a:rPr>
            <a:t>Før du kan bruge værktøjet, må du vide noget om de materialer, du ønsker at screene. Dette indebærer viden om mængder, alder</a:t>
          </a:r>
          <a:r>
            <a:rPr lang="da-DK" sz="1000" baseline="0">
              <a:solidFill>
                <a:schemeClr val="dk1"/>
              </a:solidFill>
              <a:effectLst/>
              <a:latin typeface="Century Gothic" panose="020B0502020202020204" pitchFamily="34" charset="0"/>
              <a:ea typeface="+mn-ea"/>
              <a:cs typeface="+mn-cs"/>
            </a:rPr>
            <a:t> </a:t>
          </a:r>
          <a:r>
            <a:rPr lang="da-DK" sz="1000">
              <a:solidFill>
                <a:schemeClr val="dk1"/>
              </a:solidFill>
              <a:effectLst/>
              <a:latin typeface="Century Gothic" panose="020B0502020202020204" pitchFamily="34" charset="0"/>
              <a:ea typeface="+mn-ea"/>
              <a:cs typeface="+mn-cs"/>
            </a:rPr>
            <a:t>og en lang række tekniske specifikationer gældende for det enkelte materiale. Oplysningerne</a:t>
          </a:r>
          <a:r>
            <a:rPr lang="da-DK" sz="1000" baseline="0">
              <a:solidFill>
                <a:schemeClr val="dk1"/>
              </a:solidFill>
              <a:effectLst/>
              <a:latin typeface="Century Gothic" panose="020B0502020202020204" pitchFamily="34" charset="0"/>
              <a:ea typeface="+mn-ea"/>
              <a:cs typeface="+mn-cs"/>
            </a:rPr>
            <a:t> i "input" skal tastes ind som angivet under hvert spørgsmål. </a:t>
          </a:r>
        </a:p>
        <a:p>
          <a:pPr lvl="1"/>
          <a:endParaRPr lang="da-DK" sz="1000">
            <a:solidFill>
              <a:schemeClr val="dk1"/>
            </a:solidFill>
            <a:effectLst/>
            <a:latin typeface="Century Gothic" panose="020B0502020202020204" pitchFamily="34" charset="0"/>
            <a:ea typeface="+mn-ea"/>
            <a:cs typeface="+mn-cs"/>
          </a:endParaRPr>
        </a:p>
        <a:p>
          <a:pPr lvl="1"/>
          <a:r>
            <a:rPr lang="da-DK" sz="1000" b="1">
              <a:solidFill>
                <a:schemeClr val="dk1"/>
              </a:solidFill>
              <a:effectLst/>
              <a:latin typeface="Century Gothic" panose="020B0502020202020204" pitchFamily="34" charset="0"/>
              <a:ea typeface="+mn-ea"/>
              <a:cs typeface="+mn-cs"/>
            </a:rPr>
            <a:t>ARK 2 - OUTPUT: </a:t>
          </a:r>
          <a:br>
            <a:rPr lang="da-DK" sz="1000" b="1">
              <a:solidFill>
                <a:schemeClr val="dk1"/>
              </a:solidFill>
              <a:effectLst/>
              <a:latin typeface="Century Gothic" panose="020B0502020202020204" pitchFamily="34" charset="0"/>
              <a:ea typeface="+mn-ea"/>
              <a:cs typeface="+mn-cs"/>
            </a:rPr>
          </a:br>
          <a:r>
            <a:rPr lang="da-DK" sz="1000">
              <a:solidFill>
                <a:schemeClr val="dk1"/>
              </a:solidFill>
              <a:effectLst/>
              <a:latin typeface="Century Gothic" panose="020B0502020202020204" pitchFamily="34" charset="0"/>
              <a:ea typeface="+mn-ea"/>
              <a:cs typeface="+mn-cs"/>
            </a:rPr>
            <a:t>I ”output” får du anvist, hvilket cirkuleringsgreb, der er mest hensigtsmæssigt for dit materiale på baggrund af de data, du har oplyst. Desuden får du også indsigt i en lang række andre brugbare informationer om materialet så som indlejret CO2, forudsætninger for at materialet kan cirkuleres, potentiel CO2-besparelse hvis materialer cirkuleres, potentielle output mængder, nedrivningsomkostninger mm. </a:t>
          </a:r>
        </a:p>
        <a:p>
          <a:pPr lvl="1"/>
          <a:endParaRPr lang="da-DK" sz="1000">
            <a:solidFill>
              <a:schemeClr val="dk1"/>
            </a:solidFill>
            <a:effectLst/>
            <a:latin typeface="Century Gothic" panose="020B0502020202020204" pitchFamily="34" charset="0"/>
            <a:ea typeface="+mn-ea"/>
            <a:cs typeface="+mn-cs"/>
          </a:endParaRPr>
        </a:p>
        <a:p>
          <a:pPr lvl="1"/>
          <a:r>
            <a:rPr lang="en-GB" sz="1000" b="1">
              <a:solidFill>
                <a:schemeClr val="dk1"/>
              </a:solidFill>
              <a:effectLst/>
              <a:latin typeface="Century Gothic" panose="020B0502020202020204" pitchFamily="34" charset="0"/>
              <a:ea typeface="+mn-ea"/>
              <a:cs typeface="+mn-cs"/>
            </a:rPr>
            <a:t>ARK 3 - KOMMUNIKATION: </a:t>
          </a:r>
        </a:p>
        <a:p>
          <a:pPr lvl="1"/>
          <a:r>
            <a:rPr lang="en-GB" sz="1000">
              <a:solidFill>
                <a:schemeClr val="dk1"/>
              </a:solidFill>
              <a:effectLst/>
              <a:latin typeface="Century Gothic" panose="020B0502020202020204" pitchFamily="34" charset="0"/>
              <a:ea typeface="+mn-ea"/>
              <a:cs typeface="+mn-cs"/>
            </a:rPr>
            <a:t>På det sidste ark i screeningsvæktøjet oversættes konklusioner om CO2-besparelser, affaldsminimering og</a:t>
          </a:r>
          <a:r>
            <a:rPr lang="en-GB" sz="1000" baseline="0">
              <a:solidFill>
                <a:schemeClr val="dk1"/>
              </a:solidFill>
              <a:effectLst/>
              <a:latin typeface="Century Gothic" panose="020B0502020202020204" pitchFamily="34" charset="0"/>
              <a:ea typeface="+mn-ea"/>
              <a:cs typeface="+mn-cs"/>
            </a:rPr>
            <a:t> reduktoin af jomfruelige materialer</a:t>
          </a:r>
          <a:r>
            <a:rPr lang="en-GB" sz="1000">
              <a:solidFill>
                <a:schemeClr val="dk1"/>
              </a:solidFill>
              <a:effectLst/>
              <a:latin typeface="Century Gothic" panose="020B0502020202020204" pitchFamily="34" charset="0"/>
              <a:ea typeface="+mn-ea"/>
              <a:cs typeface="+mn-cs"/>
            </a:rPr>
            <a:t> til let forståelige referencer, der med rette kan bruges til kommunikation med stakeholders så som politiske organer, beboere, rådgivere og entreprenører. Tallene sammenlignes med danskernes årlige CO2-udledning, affaldsproduktion</a:t>
          </a:r>
          <a:r>
            <a:rPr lang="en-GB" sz="1000" baseline="0">
              <a:solidFill>
                <a:schemeClr val="dk1"/>
              </a:solidFill>
              <a:effectLst/>
              <a:latin typeface="Century Gothic" panose="020B0502020202020204" pitchFamily="34" charset="0"/>
              <a:ea typeface="+mn-ea"/>
              <a:cs typeface="+mn-cs"/>
            </a:rPr>
            <a:t> og materieleforbrug i en "referencebolig". </a:t>
          </a:r>
          <a:endParaRPr lang="en-GB" sz="1000">
            <a:solidFill>
              <a:schemeClr val="dk1"/>
            </a:solidFill>
            <a:effectLst/>
            <a:latin typeface="Century Gothic" panose="020B0502020202020204" pitchFamily="34" charset="0"/>
            <a:ea typeface="+mn-ea"/>
            <a:cs typeface="+mn-cs"/>
          </a:endParaRPr>
        </a:p>
        <a:p>
          <a:pPr lvl="1"/>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593720</xdr:colOff>
      <xdr:row>27</xdr:row>
      <xdr:rowOff>77875</xdr:rowOff>
    </xdr:from>
    <xdr:ext cx="711987" cy="602463"/>
    <xdr:pic>
      <xdr:nvPicPr>
        <xdr:cNvPr id="30" name="Billede 29">
          <a:extLst>
            <a:ext uri="{FF2B5EF4-FFF2-40B4-BE49-F238E27FC236}">
              <a16:creationId xmlns:a16="http://schemas.microsoft.com/office/drawing/2014/main" id="{1C7D097B-76C8-4B68-B21C-C137132544D2}"/>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3662887" y="5401292"/>
          <a:ext cx="711987" cy="602463"/>
        </a:xfrm>
        <a:prstGeom prst="rect">
          <a:avLst/>
        </a:prstGeom>
      </xdr:spPr>
    </xdr:pic>
    <xdr:clientData/>
  </xdr:oneCellAnchor>
  <xdr:oneCellAnchor>
    <xdr:from>
      <xdr:col>6</xdr:col>
      <xdr:colOff>504572</xdr:colOff>
      <xdr:row>12</xdr:row>
      <xdr:rowOff>89294</xdr:rowOff>
    </xdr:from>
    <xdr:ext cx="922819" cy="829983"/>
    <xdr:pic>
      <xdr:nvPicPr>
        <xdr:cNvPr id="31" name="Billede 30">
          <a:extLst>
            <a:ext uri="{FF2B5EF4-FFF2-40B4-BE49-F238E27FC236}">
              <a16:creationId xmlns:a16="http://schemas.microsoft.com/office/drawing/2014/main" id="{82A4D819-B117-43B8-B0E7-551E68DBEB86}"/>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5197799" y="4141749"/>
          <a:ext cx="922819" cy="829983"/>
        </a:xfrm>
        <a:prstGeom prst="rect">
          <a:avLst/>
        </a:prstGeom>
      </xdr:spPr>
    </xdr:pic>
    <xdr:clientData/>
  </xdr:oneCellAnchor>
  <xdr:oneCellAnchor>
    <xdr:from>
      <xdr:col>6</xdr:col>
      <xdr:colOff>585039</xdr:colOff>
      <xdr:row>27</xdr:row>
      <xdr:rowOff>66655</xdr:rowOff>
    </xdr:from>
    <xdr:ext cx="711987" cy="602463"/>
    <xdr:pic>
      <xdr:nvPicPr>
        <xdr:cNvPr id="32" name="Billede 31">
          <a:extLst>
            <a:ext uri="{FF2B5EF4-FFF2-40B4-BE49-F238E27FC236}">
              <a16:creationId xmlns:a16="http://schemas.microsoft.com/office/drawing/2014/main" id="{897B7276-AC4F-41E3-8A69-223DDF8EA9EA}"/>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5485122" y="5390072"/>
          <a:ext cx="711987" cy="602463"/>
        </a:xfrm>
        <a:prstGeom prst="rect">
          <a:avLst/>
        </a:prstGeom>
      </xdr:spPr>
    </xdr:pic>
    <xdr:clientData/>
  </xdr:oneCellAnchor>
  <xdr:oneCellAnchor>
    <xdr:from>
      <xdr:col>7</xdr:col>
      <xdr:colOff>608378</xdr:colOff>
      <xdr:row>27</xdr:row>
      <xdr:rowOff>60536</xdr:rowOff>
    </xdr:from>
    <xdr:ext cx="711987" cy="602463"/>
    <xdr:pic>
      <xdr:nvPicPr>
        <xdr:cNvPr id="33" name="Billede 32">
          <a:extLst>
            <a:ext uri="{FF2B5EF4-FFF2-40B4-BE49-F238E27FC236}">
              <a16:creationId xmlns:a16="http://schemas.microsoft.com/office/drawing/2014/main" id="{50F1A98B-A981-4A9D-A238-3F7F74BEA894}"/>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11111278" y="29276886"/>
          <a:ext cx="711987" cy="602463"/>
        </a:xfrm>
        <a:prstGeom prst="rect">
          <a:avLst/>
        </a:prstGeom>
      </xdr:spPr>
    </xdr:pic>
    <xdr:clientData/>
  </xdr:oneCellAnchor>
  <xdr:oneCellAnchor>
    <xdr:from>
      <xdr:col>9</xdr:col>
      <xdr:colOff>608852</xdr:colOff>
      <xdr:row>27</xdr:row>
      <xdr:rowOff>63387</xdr:rowOff>
    </xdr:from>
    <xdr:ext cx="711987" cy="695453"/>
    <xdr:pic>
      <xdr:nvPicPr>
        <xdr:cNvPr id="34" name="Billede 33">
          <a:extLst>
            <a:ext uri="{FF2B5EF4-FFF2-40B4-BE49-F238E27FC236}">
              <a16:creationId xmlns:a16="http://schemas.microsoft.com/office/drawing/2014/main" id="{EC6D205F-DB95-4026-A01B-E7372F42EFEE}"/>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15766302" y="29279737"/>
          <a:ext cx="711987" cy="695453"/>
        </a:xfrm>
        <a:prstGeom prst="rect">
          <a:avLst/>
        </a:prstGeom>
      </xdr:spPr>
    </xdr:pic>
    <xdr:clientData/>
  </xdr:oneCellAnchor>
  <xdr:oneCellAnchor>
    <xdr:from>
      <xdr:col>10</xdr:col>
      <xdr:colOff>508803</xdr:colOff>
      <xdr:row>11</xdr:row>
      <xdr:rowOff>214031</xdr:rowOff>
    </xdr:from>
    <xdr:ext cx="922819" cy="934839"/>
    <xdr:pic>
      <xdr:nvPicPr>
        <xdr:cNvPr id="35" name="Billede 34">
          <a:extLst>
            <a:ext uri="{FF2B5EF4-FFF2-40B4-BE49-F238E27FC236}">
              <a16:creationId xmlns:a16="http://schemas.microsoft.com/office/drawing/2014/main" id="{C7EBB1A8-3C28-4D86-A701-B7035E8967B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11055576" y="4041349"/>
          <a:ext cx="922819" cy="934839"/>
        </a:xfrm>
        <a:prstGeom prst="rect">
          <a:avLst/>
        </a:prstGeom>
      </xdr:spPr>
    </xdr:pic>
    <xdr:clientData/>
  </xdr:oneCellAnchor>
  <xdr:oneCellAnchor>
    <xdr:from>
      <xdr:col>10</xdr:col>
      <xdr:colOff>624854</xdr:colOff>
      <xdr:row>27</xdr:row>
      <xdr:rowOff>98013</xdr:rowOff>
    </xdr:from>
    <xdr:ext cx="711987" cy="695453"/>
    <xdr:pic>
      <xdr:nvPicPr>
        <xdr:cNvPr id="36" name="Billede 35">
          <a:extLst>
            <a:ext uri="{FF2B5EF4-FFF2-40B4-BE49-F238E27FC236}">
              <a16:creationId xmlns:a16="http://schemas.microsoft.com/office/drawing/2014/main" id="{C398A99F-68CF-4116-88AA-D29B2C3EF24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11652687" y="5421430"/>
          <a:ext cx="711987" cy="695453"/>
        </a:xfrm>
        <a:prstGeom prst="rect">
          <a:avLst/>
        </a:prstGeom>
      </xdr:spPr>
    </xdr:pic>
    <xdr:clientData/>
  </xdr:oneCellAnchor>
  <xdr:oneCellAnchor>
    <xdr:from>
      <xdr:col>11</xdr:col>
      <xdr:colOff>593445</xdr:colOff>
      <xdr:row>27</xdr:row>
      <xdr:rowOff>66536</xdr:rowOff>
    </xdr:from>
    <xdr:ext cx="711987" cy="695453"/>
    <xdr:pic>
      <xdr:nvPicPr>
        <xdr:cNvPr id="37" name="Billede 36">
          <a:extLst>
            <a:ext uri="{FF2B5EF4-FFF2-40B4-BE49-F238E27FC236}">
              <a16:creationId xmlns:a16="http://schemas.microsoft.com/office/drawing/2014/main" id="{E0552122-659C-4C6B-BF25-4C871D521AB1}"/>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9295" b="89744" l="9810" r="89873">
                      <a14:foregroundMark x1="40823" y1="25641" x2="40823" y2="25641"/>
                      <a14:foregroundMark x1="81646" y1="16667" x2="81646" y2="16667"/>
                      <a14:foregroundMark x1="78165" y1="10256" x2="78165" y2="10256"/>
                      <a14:foregroundMark x1="62975" y1="9295" x2="62975" y2="9295"/>
                    </a14:backgroundRemoval>
                  </a14:imgEffect>
                </a14:imgLayer>
              </a14:imgProps>
            </a:ext>
          </a:extLst>
        </a:blip>
        <a:stretch>
          <a:fillRect/>
        </a:stretch>
      </xdr:blipFill>
      <xdr:spPr>
        <a:xfrm>
          <a:off x="13452195" y="5389953"/>
          <a:ext cx="711987" cy="695453"/>
        </a:xfrm>
        <a:prstGeom prst="rect">
          <a:avLst/>
        </a:prstGeom>
      </xdr:spPr>
    </xdr:pic>
    <xdr:clientData/>
  </xdr:oneCellAnchor>
  <xdr:oneCellAnchor>
    <xdr:from>
      <xdr:col>7</xdr:col>
      <xdr:colOff>607291</xdr:colOff>
      <xdr:row>22</xdr:row>
      <xdr:rowOff>105082</xdr:rowOff>
    </xdr:from>
    <xdr:ext cx="637737" cy="442550"/>
    <xdr:pic>
      <xdr:nvPicPr>
        <xdr:cNvPr id="38" name="Billede 37">
          <a:extLst>
            <a:ext uri="{FF2B5EF4-FFF2-40B4-BE49-F238E27FC236}">
              <a16:creationId xmlns:a16="http://schemas.microsoft.com/office/drawing/2014/main" id="{E97F2C89-2AEF-46BA-AF5D-CB8584319FBF}"/>
            </a:ext>
          </a:extLst>
        </xdr:cNvPr>
        <xdr:cNvPicPr>
          <a:picLocks noChangeAspect="1"/>
        </xdr:cNvPicPr>
      </xdr:nvPicPr>
      <xdr:blipFill>
        <a:blip xmlns:r="http://schemas.openxmlformats.org/officeDocument/2006/relationships" r:embed="rId3"/>
        <a:stretch>
          <a:fillRect/>
        </a:stretch>
      </xdr:blipFill>
      <xdr:spPr>
        <a:xfrm>
          <a:off x="11129241" y="28464182"/>
          <a:ext cx="637737" cy="442550"/>
        </a:xfrm>
        <a:prstGeom prst="rect">
          <a:avLst/>
        </a:prstGeom>
      </xdr:spPr>
    </xdr:pic>
    <xdr:clientData/>
  </xdr:oneCellAnchor>
  <xdr:oneCellAnchor>
    <xdr:from>
      <xdr:col>6</xdr:col>
      <xdr:colOff>609356</xdr:colOff>
      <xdr:row>22</xdr:row>
      <xdr:rowOff>43684</xdr:rowOff>
    </xdr:from>
    <xdr:ext cx="628402" cy="555424"/>
    <xdr:pic>
      <xdr:nvPicPr>
        <xdr:cNvPr id="39" name="Billede 38">
          <a:extLst>
            <a:ext uri="{FF2B5EF4-FFF2-40B4-BE49-F238E27FC236}">
              <a16:creationId xmlns:a16="http://schemas.microsoft.com/office/drawing/2014/main" id="{8AA905F8-A1C5-4B11-87E8-FBC9DDFC58AE}"/>
            </a:ext>
          </a:extLst>
        </xdr:cNvPr>
        <xdr:cNvPicPr>
          <a:picLocks noChangeAspect="1"/>
        </xdr:cNvPicPr>
      </xdr:nvPicPr>
      <xdr:blipFill>
        <a:blip xmlns:r="http://schemas.openxmlformats.org/officeDocument/2006/relationships" r:embed="rId4"/>
        <a:stretch>
          <a:fillRect/>
        </a:stretch>
      </xdr:blipFill>
      <xdr:spPr>
        <a:xfrm>
          <a:off x="8927856" y="28402784"/>
          <a:ext cx="628402" cy="555424"/>
        </a:xfrm>
        <a:prstGeom prst="rect">
          <a:avLst/>
        </a:prstGeom>
      </xdr:spPr>
    </xdr:pic>
    <xdr:clientData/>
  </xdr:oneCellAnchor>
  <xdr:oneCellAnchor>
    <xdr:from>
      <xdr:col>5</xdr:col>
      <xdr:colOff>594071</xdr:colOff>
      <xdr:row>22</xdr:row>
      <xdr:rowOff>42376</xdr:rowOff>
    </xdr:from>
    <xdr:ext cx="658523" cy="571210"/>
    <xdr:pic>
      <xdr:nvPicPr>
        <xdr:cNvPr id="40" name="Billede 39">
          <a:extLst>
            <a:ext uri="{FF2B5EF4-FFF2-40B4-BE49-F238E27FC236}">
              <a16:creationId xmlns:a16="http://schemas.microsoft.com/office/drawing/2014/main" id="{6CC9977E-D101-42E0-B452-A1190CC2883C}"/>
            </a:ext>
          </a:extLst>
        </xdr:cNvPr>
        <xdr:cNvPicPr>
          <a:picLocks noChangeAspect="1"/>
        </xdr:cNvPicPr>
      </xdr:nvPicPr>
      <xdr:blipFill>
        <a:blip xmlns:r="http://schemas.openxmlformats.org/officeDocument/2006/relationships" r:embed="rId5"/>
        <a:stretch>
          <a:fillRect/>
        </a:stretch>
      </xdr:blipFill>
      <xdr:spPr>
        <a:xfrm>
          <a:off x="3663238" y="4360376"/>
          <a:ext cx="658523" cy="571210"/>
        </a:xfrm>
        <a:prstGeom prst="rect">
          <a:avLst/>
        </a:prstGeom>
      </xdr:spPr>
    </xdr:pic>
    <xdr:clientData/>
  </xdr:oneCellAnchor>
  <xdr:oneCellAnchor>
    <xdr:from>
      <xdr:col>11</xdr:col>
      <xdr:colOff>595652</xdr:colOff>
      <xdr:row>22</xdr:row>
      <xdr:rowOff>85812</xdr:rowOff>
    </xdr:from>
    <xdr:ext cx="637737" cy="442550"/>
    <xdr:pic>
      <xdr:nvPicPr>
        <xdr:cNvPr id="41" name="Billede 40">
          <a:extLst>
            <a:ext uri="{FF2B5EF4-FFF2-40B4-BE49-F238E27FC236}">
              <a16:creationId xmlns:a16="http://schemas.microsoft.com/office/drawing/2014/main" id="{57A7A59A-A03A-4550-A01F-645FA9A017C2}"/>
            </a:ext>
          </a:extLst>
        </xdr:cNvPr>
        <xdr:cNvPicPr>
          <a:picLocks noChangeAspect="1"/>
        </xdr:cNvPicPr>
      </xdr:nvPicPr>
      <xdr:blipFill>
        <a:blip xmlns:r="http://schemas.openxmlformats.org/officeDocument/2006/relationships" r:embed="rId3"/>
        <a:stretch>
          <a:fillRect/>
        </a:stretch>
      </xdr:blipFill>
      <xdr:spPr>
        <a:xfrm>
          <a:off x="13454402" y="4403812"/>
          <a:ext cx="637737" cy="442550"/>
        </a:xfrm>
        <a:prstGeom prst="rect">
          <a:avLst/>
        </a:prstGeom>
      </xdr:spPr>
    </xdr:pic>
    <xdr:clientData/>
  </xdr:oneCellAnchor>
  <xdr:oneCellAnchor>
    <xdr:from>
      <xdr:col>10</xdr:col>
      <xdr:colOff>609481</xdr:colOff>
      <xdr:row>22</xdr:row>
      <xdr:rowOff>2881</xdr:rowOff>
    </xdr:from>
    <xdr:ext cx="628402" cy="538183"/>
    <xdr:pic>
      <xdr:nvPicPr>
        <xdr:cNvPr id="42" name="Billede 41">
          <a:extLst>
            <a:ext uri="{FF2B5EF4-FFF2-40B4-BE49-F238E27FC236}">
              <a16:creationId xmlns:a16="http://schemas.microsoft.com/office/drawing/2014/main" id="{3CF7CE5D-749F-4967-9B3B-BFB8E69F7B77}"/>
            </a:ext>
          </a:extLst>
        </xdr:cNvPr>
        <xdr:cNvPicPr>
          <a:picLocks noChangeAspect="1"/>
        </xdr:cNvPicPr>
      </xdr:nvPicPr>
      <xdr:blipFill>
        <a:blip xmlns:r="http://schemas.openxmlformats.org/officeDocument/2006/relationships" r:embed="rId4"/>
        <a:stretch>
          <a:fillRect/>
        </a:stretch>
      </xdr:blipFill>
      <xdr:spPr>
        <a:xfrm>
          <a:off x="18084681" y="28361981"/>
          <a:ext cx="628402" cy="538183"/>
        </a:xfrm>
        <a:prstGeom prst="rect">
          <a:avLst/>
        </a:prstGeom>
      </xdr:spPr>
    </xdr:pic>
    <xdr:clientData/>
  </xdr:oneCellAnchor>
  <xdr:oneCellAnchor>
    <xdr:from>
      <xdr:col>9</xdr:col>
      <xdr:colOff>609227</xdr:colOff>
      <xdr:row>22</xdr:row>
      <xdr:rowOff>21358</xdr:rowOff>
    </xdr:from>
    <xdr:ext cx="658523" cy="579080"/>
    <xdr:pic>
      <xdr:nvPicPr>
        <xdr:cNvPr id="43" name="Billede 42">
          <a:extLst>
            <a:ext uri="{FF2B5EF4-FFF2-40B4-BE49-F238E27FC236}">
              <a16:creationId xmlns:a16="http://schemas.microsoft.com/office/drawing/2014/main" id="{2C291F01-73D6-4718-BC24-2CC5F00BD91C}"/>
            </a:ext>
          </a:extLst>
        </xdr:cNvPr>
        <xdr:cNvPicPr>
          <a:picLocks noChangeAspect="1"/>
        </xdr:cNvPicPr>
      </xdr:nvPicPr>
      <xdr:blipFill>
        <a:blip xmlns:r="http://schemas.openxmlformats.org/officeDocument/2006/relationships" r:embed="rId5"/>
        <a:stretch>
          <a:fillRect/>
        </a:stretch>
      </xdr:blipFill>
      <xdr:spPr>
        <a:xfrm>
          <a:off x="15601577" y="28380458"/>
          <a:ext cx="658523" cy="579080"/>
        </a:xfrm>
        <a:prstGeom prst="rect">
          <a:avLst/>
        </a:prstGeom>
      </xdr:spPr>
    </xdr:pic>
    <xdr:clientData/>
  </xdr:oneCellAnchor>
  <xdr:oneCellAnchor>
    <xdr:from>
      <xdr:col>14</xdr:col>
      <xdr:colOff>527916</xdr:colOff>
      <xdr:row>6</xdr:row>
      <xdr:rowOff>370897</xdr:rowOff>
    </xdr:from>
    <xdr:ext cx="658523" cy="579080"/>
    <xdr:pic>
      <xdr:nvPicPr>
        <xdr:cNvPr id="46" name="Billede 45">
          <a:extLst>
            <a:ext uri="{FF2B5EF4-FFF2-40B4-BE49-F238E27FC236}">
              <a16:creationId xmlns:a16="http://schemas.microsoft.com/office/drawing/2014/main" id="{2C815969-A8DD-4FA8-A6C8-2CA15965ED3D}"/>
            </a:ext>
          </a:extLst>
        </xdr:cNvPr>
        <xdr:cNvPicPr>
          <a:picLocks noChangeAspect="1"/>
        </xdr:cNvPicPr>
      </xdr:nvPicPr>
      <xdr:blipFill>
        <a:blip xmlns:r="http://schemas.openxmlformats.org/officeDocument/2006/relationships" r:embed="rId5"/>
        <a:stretch>
          <a:fillRect/>
        </a:stretch>
      </xdr:blipFill>
      <xdr:spPr>
        <a:xfrm>
          <a:off x="16945552" y="2068079"/>
          <a:ext cx="658523" cy="579080"/>
        </a:xfrm>
        <a:prstGeom prst="rect">
          <a:avLst/>
        </a:prstGeom>
      </xdr:spPr>
    </xdr:pic>
    <xdr:clientData/>
  </xdr:oneCellAnchor>
  <xdr:oneCellAnchor>
    <xdr:from>
      <xdr:col>14</xdr:col>
      <xdr:colOff>542313</xdr:colOff>
      <xdr:row>14</xdr:row>
      <xdr:rowOff>389082</xdr:rowOff>
    </xdr:from>
    <xdr:ext cx="628402" cy="538183"/>
    <xdr:pic>
      <xdr:nvPicPr>
        <xdr:cNvPr id="47" name="Billede 46">
          <a:extLst>
            <a:ext uri="{FF2B5EF4-FFF2-40B4-BE49-F238E27FC236}">
              <a16:creationId xmlns:a16="http://schemas.microsoft.com/office/drawing/2014/main" id="{5675E8AE-1AEE-4757-9D57-34E922974295}"/>
            </a:ext>
          </a:extLst>
        </xdr:cNvPr>
        <xdr:cNvPicPr>
          <a:picLocks noChangeAspect="1"/>
        </xdr:cNvPicPr>
      </xdr:nvPicPr>
      <xdr:blipFill>
        <a:blip xmlns:r="http://schemas.openxmlformats.org/officeDocument/2006/relationships" r:embed="rId4"/>
        <a:stretch>
          <a:fillRect/>
        </a:stretch>
      </xdr:blipFill>
      <xdr:spPr>
        <a:xfrm>
          <a:off x="16959949" y="4874491"/>
          <a:ext cx="628402" cy="538183"/>
        </a:xfrm>
        <a:prstGeom prst="rect">
          <a:avLst/>
        </a:prstGeom>
      </xdr:spPr>
    </xdr:pic>
    <xdr:clientData/>
  </xdr:oneCellAnchor>
  <xdr:oneCellAnchor>
    <xdr:from>
      <xdr:col>14</xdr:col>
      <xdr:colOff>537721</xdr:colOff>
      <xdr:row>25</xdr:row>
      <xdr:rowOff>6442</xdr:rowOff>
    </xdr:from>
    <xdr:ext cx="637737" cy="442550"/>
    <xdr:pic>
      <xdr:nvPicPr>
        <xdr:cNvPr id="48" name="Billede 47">
          <a:extLst>
            <a:ext uri="{FF2B5EF4-FFF2-40B4-BE49-F238E27FC236}">
              <a16:creationId xmlns:a16="http://schemas.microsoft.com/office/drawing/2014/main" id="{E865D337-BA2D-4585-AD3C-4D472608C656}"/>
            </a:ext>
          </a:extLst>
        </xdr:cNvPr>
        <xdr:cNvPicPr>
          <a:picLocks noChangeAspect="1"/>
        </xdr:cNvPicPr>
      </xdr:nvPicPr>
      <xdr:blipFill>
        <a:blip xmlns:r="http://schemas.openxmlformats.org/officeDocument/2006/relationships" r:embed="rId3"/>
        <a:stretch>
          <a:fillRect/>
        </a:stretch>
      </xdr:blipFill>
      <xdr:spPr>
        <a:xfrm>
          <a:off x="16955357" y="7574487"/>
          <a:ext cx="637737" cy="442550"/>
        </a:xfrm>
        <a:prstGeom prst="rect">
          <a:avLst/>
        </a:prstGeom>
      </xdr:spPr>
    </xdr:pic>
    <xdr:clientData/>
  </xdr:oneCellAnchor>
  <xdr:twoCellAnchor editAs="oneCell">
    <xdr:from>
      <xdr:col>13</xdr:col>
      <xdr:colOff>528206</xdr:colOff>
      <xdr:row>9</xdr:row>
      <xdr:rowOff>294002</xdr:rowOff>
    </xdr:from>
    <xdr:to>
      <xdr:col>13</xdr:col>
      <xdr:colOff>1607706</xdr:colOff>
      <xdr:row>11</xdr:row>
      <xdr:rowOff>197515</xdr:rowOff>
    </xdr:to>
    <xdr:pic>
      <xdr:nvPicPr>
        <xdr:cNvPr id="3" name="Billede 2">
          <a:extLst>
            <a:ext uri="{FF2B5EF4-FFF2-40B4-BE49-F238E27FC236}">
              <a16:creationId xmlns:a16="http://schemas.microsoft.com/office/drawing/2014/main" id="{3CB4E496-C696-4DD7-8600-CE04CE9C22E8}"/>
            </a:ext>
          </a:extLst>
        </xdr:cNvPr>
        <xdr:cNvPicPr>
          <a:picLocks noChangeAspect="1"/>
        </xdr:cNvPicPr>
      </xdr:nvPicPr>
      <xdr:blipFill>
        <a:blip xmlns:r="http://schemas.openxmlformats.org/officeDocument/2006/relationships" r:embed="rId6"/>
        <a:stretch>
          <a:fillRect/>
        </a:stretch>
      </xdr:blipFill>
      <xdr:spPr>
        <a:xfrm>
          <a:off x="15144751" y="3030275"/>
          <a:ext cx="1079500" cy="838695"/>
        </a:xfrm>
        <a:prstGeom prst="rect">
          <a:avLst/>
        </a:prstGeom>
      </xdr:spPr>
    </xdr:pic>
    <xdr:clientData/>
  </xdr:twoCellAnchor>
  <xdr:twoCellAnchor editAs="oneCell">
    <xdr:from>
      <xdr:col>13</xdr:col>
      <xdr:colOff>542637</xdr:colOff>
      <xdr:row>18</xdr:row>
      <xdr:rowOff>400296</xdr:rowOff>
    </xdr:from>
    <xdr:to>
      <xdr:col>13</xdr:col>
      <xdr:colOff>1626466</xdr:colOff>
      <xdr:row>20</xdr:row>
      <xdr:rowOff>200691</xdr:rowOff>
    </xdr:to>
    <xdr:pic>
      <xdr:nvPicPr>
        <xdr:cNvPr id="4" name="Billede 3">
          <a:extLst>
            <a:ext uri="{FF2B5EF4-FFF2-40B4-BE49-F238E27FC236}">
              <a16:creationId xmlns:a16="http://schemas.microsoft.com/office/drawing/2014/main" id="{7DB00C11-5183-4800-91E3-2E98EBA7D6A2}"/>
            </a:ext>
          </a:extLst>
        </xdr:cNvPr>
        <xdr:cNvPicPr>
          <a:picLocks noChangeAspect="1"/>
        </xdr:cNvPicPr>
      </xdr:nvPicPr>
      <xdr:blipFill>
        <a:blip xmlns:r="http://schemas.openxmlformats.org/officeDocument/2006/relationships" r:embed="rId7"/>
        <a:stretch>
          <a:fillRect/>
        </a:stretch>
      </xdr:blipFill>
      <xdr:spPr>
        <a:xfrm>
          <a:off x="15159182" y="5855523"/>
          <a:ext cx="1083829" cy="787531"/>
        </a:xfrm>
        <a:prstGeom prst="rect">
          <a:avLst/>
        </a:prstGeom>
      </xdr:spPr>
    </xdr:pic>
    <xdr:clientData/>
  </xdr:twoCellAnchor>
  <xdr:twoCellAnchor editAs="oneCell">
    <xdr:from>
      <xdr:col>13</xdr:col>
      <xdr:colOff>555625</xdr:colOff>
      <xdr:row>28</xdr:row>
      <xdr:rowOff>363562</xdr:rowOff>
    </xdr:from>
    <xdr:to>
      <xdr:col>13</xdr:col>
      <xdr:colOff>1623580</xdr:colOff>
      <xdr:row>30</xdr:row>
      <xdr:rowOff>143486</xdr:rowOff>
    </xdr:to>
    <xdr:pic>
      <xdr:nvPicPr>
        <xdr:cNvPr id="5" name="Billede 4">
          <a:extLst>
            <a:ext uri="{FF2B5EF4-FFF2-40B4-BE49-F238E27FC236}">
              <a16:creationId xmlns:a16="http://schemas.microsoft.com/office/drawing/2014/main" id="{0E5D29CA-D366-4103-A938-3E8B01290C83}"/>
            </a:ext>
          </a:extLst>
        </xdr:cNvPr>
        <xdr:cNvPicPr>
          <a:picLocks noChangeAspect="1"/>
        </xdr:cNvPicPr>
      </xdr:nvPicPr>
      <xdr:blipFill>
        <a:blip xmlns:r="http://schemas.openxmlformats.org/officeDocument/2006/relationships" r:embed="rId8"/>
        <a:stretch>
          <a:fillRect/>
        </a:stretch>
      </xdr:blipFill>
      <xdr:spPr>
        <a:xfrm>
          <a:off x="15172170" y="8607017"/>
          <a:ext cx="1067955" cy="749742"/>
        </a:xfrm>
        <a:prstGeom prst="rect">
          <a:avLst/>
        </a:prstGeom>
      </xdr:spPr>
    </xdr:pic>
    <xdr:clientData/>
  </xdr:twoCellAnchor>
  <xdr:twoCellAnchor>
    <xdr:from>
      <xdr:col>5</xdr:col>
      <xdr:colOff>0</xdr:colOff>
      <xdr:row>36</xdr:row>
      <xdr:rowOff>69273</xdr:rowOff>
    </xdr:from>
    <xdr:to>
      <xdr:col>7</xdr:col>
      <xdr:colOff>1762744</xdr:colOff>
      <xdr:row>50</xdr:row>
      <xdr:rowOff>96487</xdr:rowOff>
    </xdr:to>
    <xdr:sp macro="" textlink="">
      <xdr:nvSpPr>
        <xdr:cNvPr id="29" name="Tekstfelt 28">
          <a:extLst>
            <a:ext uri="{FF2B5EF4-FFF2-40B4-BE49-F238E27FC236}">
              <a16:creationId xmlns:a16="http://schemas.microsoft.com/office/drawing/2014/main" id="{9B943815-83EF-4908-84AA-E2B0B806AA8F}"/>
            </a:ext>
          </a:extLst>
        </xdr:cNvPr>
        <xdr:cNvSpPr txBox="1"/>
      </xdr:nvSpPr>
      <xdr:spPr>
        <a:xfrm>
          <a:off x="2944091" y="9542318"/>
          <a:ext cx="5243698" cy="2694214"/>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b="1">
              <a:solidFill>
                <a:schemeClr val="dk1"/>
              </a:solidFill>
              <a:effectLst/>
              <a:latin typeface="Century Gothic" panose="020B0502020202020204" pitchFamily="34" charset="0"/>
              <a:ea typeface="+mn-ea"/>
              <a:cs typeface="+mn-cs"/>
            </a:rPr>
            <a:t>Potentiel</a:t>
          </a:r>
          <a:r>
            <a:rPr lang="da-DK" sz="1600" b="1" baseline="0">
              <a:solidFill>
                <a:schemeClr val="dk1"/>
              </a:solidFill>
              <a:effectLst/>
              <a:latin typeface="Century Gothic" panose="020B0502020202020204" pitchFamily="34" charset="0"/>
              <a:ea typeface="+mn-ea"/>
              <a:cs typeface="+mn-cs"/>
            </a:rPr>
            <a:t> CO2-besparelse </a:t>
          </a:r>
          <a:br>
            <a:rPr lang="da-DK" sz="1600" b="1" baseline="0">
              <a:solidFill>
                <a:schemeClr val="dk1"/>
              </a:solidFill>
              <a:effectLst/>
              <a:latin typeface="Century Gothic" panose="020B0502020202020204" pitchFamily="34" charset="0"/>
              <a:ea typeface="+mn-ea"/>
              <a:cs typeface="+mn-cs"/>
            </a:rPr>
          </a:br>
          <a:endParaRPr lang="da-DK" sz="1600" b="1"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Denne reference sammenligner den mulige CO2-besparelse ved cirkulering af de indtastede materialer i forhold til den gennemsnitlige danskers årlige CO2-forbrug. Beregnet viser det samlede tal på tværs af de 3 materialer såvel som tallet for de enkelte materialer hver især. </a:t>
          </a:r>
          <a:br>
            <a:rPr lang="da-DK" sz="1400" b="0" baseline="0">
              <a:solidFill>
                <a:schemeClr val="dk1"/>
              </a:solidFill>
              <a:effectLst/>
              <a:latin typeface="Century Gothic" panose="020B0502020202020204" pitchFamily="34" charset="0"/>
              <a:ea typeface="+mn-ea"/>
              <a:cs typeface="+mn-cs"/>
            </a:rPr>
          </a:br>
          <a:endParaRPr lang="da-DK" sz="1400" b="0"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Det anslås, at hver dansker i gennemsnit udleder 19 tons CO2 om året. </a:t>
          </a:r>
          <a:endParaRPr lang="en-GB" sz="1400" b="0">
            <a:solidFill>
              <a:schemeClr val="dk1"/>
            </a:solidFill>
            <a:effectLst/>
            <a:latin typeface="Century Gothic" panose="020B0502020202020204" pitchFamily="34" charset="0"/>
            <a:ea typeface="+mn-ea"/>
            <a:cs typeface="+mn-cs"/>
          </a:endParaRPr>
        </a:p>
        <a:p>
          <a:pPr lvl="1"/>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xdr:txBody>
    </xdr:sp>
    <xdr:clientData/>
  </xdr:twoCellAnchor>
  <xdr:twoCellAnchor>
    <xdr:from>
      <xdr:col>8</xdr:col>
      <xdr:colOff>577933</xdr:colOff>
      <xdr:row>36</xdr:row>
      <xdr:rowOff>85601</xdr:rowOff>
    </xdr:from>
    <xdr:to>
      <xdr:col>11</xdr:col>
      <xdr:colOff>1717221</xdr:colOff>
      <xdr:row>50</xdr:row>
      <xdr:rowOff>82880</xdr:rowOff>
    </xdr:to>
    <xdr:sp macro="" textlink="">
      <xdr:nvSpPr>
        <xdr:cNvPr id="44" name="Tekstfelt 43">
          <a:extLst>
            <a:ext uri="{FF2B5EF4-FFF2-40B4-BE49-F238E27FC236}">
              <a16:creationId xmlns:a16="http://schemas.microsoft.com/office/drawing/2014/main" id="{2B7A91BF-57F2-4671-9D55-25E7F84FE2D6}"/>
            </a:ext>
          </a:extLst>
        </xdr:cNvPr>
        <xdr:cNvSpPr txBox="1"/>
      </xdr:nvSpPr>
      <xdr:spPr>
        <a:xfrm>
          <a:off x="8786751" y="9558646"/>
          <a:ext cx="5226379" cy="266427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b="1">
              <a:solidFill>
                <a:schemeClr val="dk1"/>
              </a:solidFill>
              <a:effectLst/>
              <a:latin typeface="Century Gothic" panose="020B0502020202020204" pitchFamily="34" charset="0"/>
              <a:ea typeface="+mn-ea"/>
              <a:cs typeface="+mn-cs"/>
            </a:rPr>
            <a:t>Potentiel</a:t>
          </a:r>
          <a:r>
            <a:rPr lang="da-DK" sz="1600" b="1" baseline="0">
              <a:solidFill>
                <a:schemeClr val="dk1"/>
              </a:solidFill>
              <a:effectLst/>
              <a:latin typeface="Century Gothic" panose="020B0502020202020204" pitchFamily="34" charset="0"/>
              <a:ea typeface="+mn-ea"/>
              <a:cs typeface="+mn-cs"/>
            </a:rPr>
            <a:t> affaldsminimering </a:t>
          </a:r>
          <a:br>
            <a:rPr lang="da-DK" sz="1600" b="1" baseline="0">
              <a:solidFill>
                <a:schemeClr val="dk1"/>
              </a:solidFill>
              <a:effectLst/>
              <a:latin typeface="Century Gothic" panose="020B0502020202020204" pitchFamily="34" charset="0"/>
              <a:ea typeface="+mn-ea"/>
              <a:cs typeface="+mn-cs"/>
            </a:rPr>
          </a:br>
          <a:endParaRPr lang="da-DK" sz="1600" b="1"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Denne reference sammenligner den mulige affaldsminimering ved cirkulering af de indtastede materialer i forhold til den gennemsnitlige danskers årlige affaldsproduktion. Udregningen viser det samlede tal på tværs af de 3 materialer såvel som tallet for de enkelte materialer hver især. </a:t>
          </a:r>
          <a:br>
            <a:rPr lang="da-DK" sz="1400" b="0" baseline="0">
              <a:solidFill>
                <a:schemeClr val="dk1"/>
              </a:solidFill>
              <a:effectLst/>
              <a:latin typeface="Century Gothic" panose="020B0502020202020204" pitchFamily="34" charset="0"/>
              <a:ea typeface="+mn-ea"/>
              <a:cs typeface="+mn-cs"/>
            </a:rPr>
          </a:br>
          <a:endParaRPr lang="da-DK" sz="1400" b="0"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Det anslås, at hver dansker i gennemsnit smider 447 KG husholdningsaffald ud om året. </a:t>
          </a:r>
          <a:endParaRPr lang="en-GB" sz="1400" b="0">
            <a:solidFill>
              <a:schemeClr val="dk1"/>
            </a:solidFill>
            <a:effectLst/>
            <a:latin typeface="Century Gothic" panose="020B0502020202020204" pitchFamily="34" charset="0"/>
            <a:ea typeface="+mn-ea"/>
            <a:cs typeface="+mn-cs"/>
          </a:endParaRPr>
        </a:p>
        <a:p>
          <a:pPr lvl="1"/>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xdr:txBody>
    </xdr:sp>
    <xdr:clientData/>
  </xdr:twoCellAnchor>
  <xdr:twoCellAnchor>
    <xdr:from>
      <xdr:col>12</xdr:col>
      <xdr:colOff>575212</xdr:colOff>
      <xdr:row>36</xdr:row>
      <xdr:rowOff>82880</xdr:rowOff>
    </xdr:from>
    <xdr:to>
      <xdr:col>15</xdr:col>
      <xdr:colOff>1830781</xdr:colOff>
      <xdr:row>50</xdr:row>
      <xdr:rowOff>80159</xdr:rowOff>
    </xdr:to>
    <xdr:sp macro="" textlink="">
      <xdr:nvSpPr>
        <xdr:cNvPr id="45" name="Tekstfelt 44">
          <a:extLst>
            <a:ext uri="{FF2B5EF4-FFF2-40B4-BE49-F238E27FC236}">
              <a16:creationId xmlns:a16="http://schemas.microsoft.com/office/drawing/2014/main" id="{C4CBE1A4-FF9F-4806-9E5F-05EECAC0ED14}"/>
            </a:ext>
          </a:extLst>
        </xdr:cNvPr>
        <xdr:cNvSpPr txBox="1"/>
      </xdr:nvSpPr>
      <xdr:spPr>
        <a:xfrm>
          <a:off x="14602939" y="9555925"/>
          <a:ext cx="5221433" cy="266427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600" b="1">
              <a:solidFill>
                <a:schemeClr val="dk1"/>
              </a:solidFill>
              <a:effectLst/>
              <a:latin typeface="Century Gothic" panose="020B0502020202020204" pitchFamily="34" charset="0"/>
              <a:ea typeface="+mn-ea"/>
              <a:cs typeface="+mn-cs"/>
            </a:rPr>
            <a:t>Potentiel</a:t>
          </a:r>
          <a:r>
            <a:rPr lang="da-DK" sz="1600" b="1" baseline="0">
              <a:solidFill>
                <a:schemeClr val="dk1"/>
              </a:solidFill>
              <a:effectLst/>
              <a:latin typeface="Century Gothic" panose="020B0502020202020204" pitchFamily="34" charset="0"/>
              <a:ea typeface="+mn-ea"/>
              <a:cs typeface="+mn-cs"/>
            </a:rPr>
            <a:t> outputmængde </a:t>
          </a:r>
          <a:br>
            <a:rPr lang="da-DK" sz="1600" b="1" baseline="0">
              <a:solidFill>
                <a:schemeClr val="dk1"/>
              </a:solidFill>
              <a:effectLst/>
              <a:latin typeface="Century Gothic" panose="020B0502020202020204" pitchFamily="34" charset="0"/>
              <a:ea typeface="+mn-ea"/>
              <a:cs typeface="+mn-cs"/>
            </a:rPr>
          </a:br>
          <a:endParaRPr lang="da-DK" sz="1600" b="1"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Denne reference illustrerer, hvor mange nye boliger man kan bygge med de indtastede materialer, hvis de(t) anbefalede cirkuleringsgreb realiseres. </a:t>
          </a:r>
        </a:p>
        <a:p>
          <a:endParaRPr lang="da-DK" sz="1400" b="0" baseline="0">
            <a:solidFill>
              <a:schemeClr val="dk1"/>
            </a:solidFill>
            <a:effectLst/>
            <a:latin typeface="Century Gothic" panose="020B0502020202020204" pitchFamily="34" charset="0"/>
            <a:ea typeface="+mn-ea"/>
            <a:cs typeface="+mn-cs"/>
          </a:endParaRPr>
        </a:p>
        <a:p>
          <a:r>
            <a:rPr lang="da-DK" sz="1400" b="0" baseline="0">
              <a:solidFill>
                <a:schemeClr val="dk1"/>
              </a:solidFill>
              <a:effectLst/>
              <a:latin typeface="Century Gothic" panose="020B0502020202020204" pitchFamily="34" charset="0"/>
              <a:ea typeface="+mn-ea"/>
              <a:cs typeface="+mn-cs"/>
            </a:rPr>
            <a:t>En referencebolig er beregnet ud fra et typisk 1-familiehus på 100m2 med et råhus af beton (samt indkørsel og lille have). </a:t>
          </a:r>
        </a:p>
        <a:p>
          <a:br>
            <a:rPr lang="da-DK" sz="1400" b="0" baseline="0">
              <a:solidFill>
                <a:schemeClr val="dk1"/>
              </a:solidFill>
              <a:effectLst/>
              <a:latin typeface="Century Gothic" panose="020B0502020202020204" pitchFamily="34" charset="0"/>
              <a:ea typeface="+mn-ea"/>
              <a:cs typeface="+mn-cs"/>
            </a:rPr>
          </a:br>
          <a:br>
            <a:rPr lang="da-DK" sz="1400" b="0" baseline="0">
              <a:solidFill>
                <a:schemeClr val="dk1"/>
              </a:solidFill>
              <a:effectLst/>
              <a:latin typeface="Century Gothic" panose="020B0502020202020204" pitchFamily="34" charset="0"/>
              <a:ea typeface="+mn-ea"/>
              <a:cs typeface="+mn-cs"/>
            </a:rPr>
          </a:br>
          <a:endParaRPr lang="en-GB" sz="1400" b="0">
            <a:solidFill>
              <a:schemeClr val="dk1"/>
            </a:solidFill>
            <a:effectLst/>
            <a:latin typeface="Century Gothic" panose="020B0502020202020204" pitchFamily="34" charset="0"/>
            <a:ea typeface="+mn-ea"/>
            <a:cs typeface="+mn-cs"/>
          </a:endParaRPr>
        </a:p>
        <a:p>
          <a:pPr lvl="1"/>
          <a:endParaRPr lang="en-DK" sz="1000">
            <a:solidFill>
              <a:schemeClr val="dk1"/>
            </a:solidFill>
            <a:effectLst/>
            <a:latin typeface="Century Gothic" panose="020B0502020202020204" pitchFamily="34" charset="0"/>
            <a:ea typeface="+mn-ea"/>
            <a:cs typeface="+mn-cs"/>
          </a:endParaRPr>
        </a:p>
        <a:p>
          <a:endParaRPr lang="da-DK" sz="1000">
            <a:solidFill>
              <a:schemeClr val="dk1"/>
            </a:solidFill>
            <a:effectLst/>
            <a:latin typeface="Century Gothic" panose="020B0502020202020204" pitchFamily="34" charset="0"/>
            <a:ea typeface="+mn-ea"/>
            <a:cs typeface="+mn-cs"/>
          </a:endParaRPr>
        </a:p>
        <a:p>
          <a:endParaRPr lang="en-DK" sz="1000">
            <a:solidFill>
              <a:schemeClr val="dk1"/>
            </a:solidFill>
            <a:effectLst/>
            <a:latin typeface="Century Gothic" panose="020B0502020202020204" pitchFamily="34"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338</xdr:row>
      <xdr:rowOff>209070</xdr:rowOff>
    </xdr:from>
    <xdr:to>
      <xdr:col>5</xdr:col>
      <xdr:colOff>777330</xdr:colOff>
      <xdr:row>363</xdr:row>
      <xdr:rowOff>18305</xdr:rowOff>
    </xdr:to>
    <xdr:pic>
      <xdr:nvPicPr>
        <xdr:cNvPr id="5" name="Billed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0" y="94680808"/>
          <a:ext cx="12939129" cy="5443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25241</xdr:colOff>
      <xdr:row>3</xdr:row>
      <xdr:rowOff>93819</xdr:rowOff>
    </xdr:from>
    <xdr:to>
      <xdr:col>21</xdr:col>
      <xdr:colOff>438336</xdr:colOff>
      <xdr:row>14</xdr:row>
      <xdr:rowOff>115084</xdr:rowOff>
    </xdr:to>
    <xdr:pic>
      <xdr:nvPicPr>
        <xdr:cNvPr id="3" name="Picture 2">
          <a:extLst>
            <a:ext uri="{FF2B5EF4-FFF2-40B4-BE49-F238E27FC236}">
              <a16:creationId xmlns:a16="http://schemas.microsoft.com/office/drawing/2014/main" id="{6BDF1680-15F0-4213-841E-2B8838682DD6}"/>
            </a:ext>
          </a:extLst>
        </xdr:cNvPr>
        <xdr:cNvPicPr>
          <a:picLocks noChangeAspect="1"/>
        </xdr:cNvPicPr>
      </xdr:nvPicPr>
      <xdr:blipFill rotWithShape="1">
        <a:blip xmlns:r="http://schemas.openxmlformats.org/officeDocument/2006/relationships" r:embed="rId1"/>
        <a:srcRect t="36604"/>
        <a:stretch/>
      </xdr:blipFill>
      <xdr:spPr>
        <a:xfrm>
          <a:off x="7035641" y="1132044"/>
          <a:ext cx="7118695" cy="190721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Tim Riis Tolman" id="{21E6EC23-3F81-4913-B9E7-EF16C2FCFDD1}" userId="S-1-5-21-19882557-3511897946-2802720358-1273" providerId="AD"/>
</personList>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W126" dT="2019-12-11T07:55:39.52" personId="{21E6EC23-3F81-4913-B9E7-EF16C2FCFDD1}" id="{8FC93EEB-A68A-45A9-9B92-68F987EEDFF8}">
    <text>https://www.bygningsbevaring.dk/uploads/files/udstillingsplancher/Tegltage-2017_til_print.pdf</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norrecco.dk/prisliste-sjaelland/" TargetMode="External"/><Relationship Id="rId13" Type="http://schemas.openxmlformats.org/officeDocument/2006/relationships/comments" Target="../comments1.xml"/><Relationship Id="rId3" Type="http://schemas.openxmlformats.org/officeDocument/2006/relationships/hyperlink" Target="https://www.aarhus.dk/nyt/teknik-og-miljoe/2019/september-2019/danmarkspremiere-paa-klimavenlig-asfaltering/" TargetMode="External"/><Relationship Id="rId7" Type="http://schemas.openxmlformats.org/officeDocument/2006/relationships/hyperlink" Target="https://norrecco.dk/prisliste-sjaelland/" TargetMode="External"/><Relationship Id="rId12" Type="http://schemas.openxmlformats.org/officeDocument/2006/relationships/vmlDrawing" Target="../drawings/vmlDrawing1.vml"/><Relationship Id="rId2" Type="http://schemas.openxmlformats.org/officeDocument/2006/relationships/hyperlink" Target="https://www.dn.dk/vi-arbejder-for/baeredygtighed/affald/" TargetMode="External"/><Relationship Id="rId1" Type="http://schemas.openxmlformats.org/officeDocument/2006/relationships/hyperlink" Target="https://www.innobyg.dk/media/75876/materialeatlas.pdf" TargetMode="External"/><Relationship Id="rId6" Type="http://schemas.openxmlformats.org/officeDocument/2006/relationships/hyperlink" Target="https://norrecco.dk/prisliste-sjaelland/" TargetMode="External"/><Relationship Id="rId11" Type="http://schemas.openxmlformats.org/officeDocument/2006/relationships/drawing" Target="../drawings/drawing3.xml"/><Relationship Id="rId5" Type="http://schemas.openxmlformats.org/officeDocument/2006/relationships/hyperlink" Target="https://www.kk.dk/kmc" TargetMode="External"/><Relationship Id="rId10" Type="http://schemas.openxmlformats.org/officeDocument/2006/relationships/printerSettings" Target="../printerSettings/printerSettings5.bin"/><Relationship Id="rId4" Type="http://schemas.openxmlformats.org/officeDocument/2006/relationships/hyperlink" Target="https://jord.dk/portfolio-items/massefyldenpajord/" TargetMode="External"/><Relationship Id="rId9" Type="http://schemas.openxmlformats.org/officeDocument/2006/relationships/hyperlink" Target="http://www.truthstudio.com/content/CREEA_Global_Resource_Footprint_of_Nations.pdf" TargetMode="External"/><Relationship Id="rId1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BED03-29F4-477D-AE72-9E8C965D26DB}">
  <sheetPr>
    <tabColor rgb="FFDDEBD2"/>
  </sheetPr>
  <dimension ref="A1"/>
  <sheetViews>
    <sheetView tabSelected="1" zoomScaleNormal="100" workbookViewId="0">
      <selection activeCell="Q17" sqref="Q17"/>
    </sheetView>
  </sheetViews>
  <sheetFormatPr defaultColWidth="9.109375" defaultRowHeight="14.4" x14ac:dyDescent="0.3"/>
  <cols>
    <col min="1" max="16384" width="9.109375" style="449"/>
  </cols>
  <sheetData>
    <row r="1" spans="1:1" s="543" customFormat="1" ht="31.2" x14ac:dyDescent="0.45">
      <c r="A1" s="542" t="s">
        <v>451</v>
      </c>
    </row>
  </sheetData>
  <sheetProtection sheet="1" objects="1" scenarios="1"/>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07C86-E7AF-4C2B-BFF2-CC45E3128694}">
  <dimension ref="D12:W19"/>
  <sheetViews>
    <sheetView topLeftCell="A13" workbookViewId="0">
      <selection activeCell="G17" sqref="G17"/>
    </sheetView>
  </sheetViews>
  <sheetFormatPr defaultRowHeight="14.4" x14ac:dyDescent="0.3"/>
  <sheetData>
    <row r="12" spans="4:23" x14ac:dyDescent="0.3">
      <c r="D12" s="1" t="s">
        <v>159</v>
      </c>
      <c r="E12" s="1"/>
      <c r="F12" s="1"/>
      <c r="G12" s="1"/>
      <c r="H12" s="1" t="s">
        <v>174</v>
      </c>
      <c r="I12" s="1"/>
      <c r="J12" s="1"/>
      <c r="K12" s="1"/>
      <c r="L12" s="1" t="s">
        <v>162</v>
      </c>
      <c r="M12" s="1"/>
      <c r="N12" s="1"/>
      <c r="O12" s="1"/>
      <c r="P12" s="1"/>
      <c r="Q12" s="1"/>
      <c r="R12" s="1"/>
      <c r="S12" s="1"/>
      <c r="T12" s="1"/>
      <c r="U12" s="1"/>
      <c r="V12" s="1"/>
      <c r="W12" s="1"/>
    </row>
    <row r="13" spans="4:23" x14ac:dyDescent="0.3">
      <c r="D13" s="1"/>
      <c r="E13" s="1"/>
      <c r="F13" s="1"/>
      <c r="G13" s="1"/>
      <c r="H13" s="1"/>
      <c r="I13" s="1"/>
      <c r="J13" s="1"/>
      <c r="K13" s="1"/>
      <c r="L13" s="1"/>
      <c r="M13" s="1"/>
      <c r="N13" s="1"/>
      <c r="O13" s="1"/>
      <c r="P13" s="1"/>
      <c r="Q13" s="1"/>
      <c r="R13" s="1"/>
      <c r="S13" s="1"/>
      <c r="T13" s="1"/>
      <c r="U13" s="1"/>
      <c r="V13" s="1"/>
      <c r="W13" s="1"/>
    </row>
    <row r="14" spans="4:23" x14ac:dyDescent="0.3">
      <c r="D14" s="1"/>
      <c r="E14" s="1" t="s">
        <v>169</v>
      </c>
      <c r="F14" s="1"/>
      <c r="G14" s="1"/>
      <c r="H14" s="1"/>
      <c r="I14" s="1" t="s">
        <v>169</v>
      </c>
      <c r="J14" s="1"/>
      <c r="K14" s="1"/>
      <c r="L14" s="1"/>
      <c r="M14" s="1" t="s">
        <v>169</v>
      </c>
      <c r="N14" s="1"/>
      <c r="O14" s="1"/>
      <c r="P14" s="1"/>
      <c r="Q14" s="1" t="s">
        <v>163</v>
      </c>
      <c r="R14" s="1"/>
      <c r="S14" s="1"/>
      <c r="T14" s="1"/>
      <c r="U14" s="1"/>
      <c r="V14" s="1"/>
      <c r="W14" s="1"/>
    </row>
    <row r="15" spans="4:23" x14ac:dyDescent="0.3">
      <c r="D15" s="1" t="s">
        <v>170</v>
      </c>
      <c r="E15" s="1" t="s">
        <v>164</v>
      </c>
      <c r="F15" s="1" t="s">
        <v>165</v>
      </c>
      <c r="G15" s="1"/>
      <c r="H15" s="1" t="s">
        <v>170</v>
      </c>
      <c r="I15" s="1" t="s">
        <v>164</v>
      </c>
      <c r="J15" s="1" t="s">
        <v>165</v>
      </c>
      <c r="K15" s="1"/>
      <c r="L15" s="1" t="s">
        <v>170</v>
      </c>
      <c r="M15" s="1" t="s">
        <v>164</v>
      </c>
      <c r="N15" s="1" t="s">
        <v>165</v>
      </c>
      <c r="O15" s="1"/>
      <c r="P15" s="1"/>
      <c r="Q15" s="1" t="s">
        <v>164</v>
      </c>
      <c r="R15" s="1" t="s">
        <v>104</v>
      </c>
      <c r="S15" s="1"/>
      <c r="T15" s="1"/>
      <c r="U15" s="1"/>
      <c r="V15" s="1"/>
      <c r="W15" s="1"/>
    </row>
    <row r="16" spans="4:23" ht="83.4" x14ac:dyDescent="0.3">
      <c r="D16" s="1" t="s">
        <v>366</v>
      </c>
      <c r="E16" s="2" t="s">
        <v>191</v>
      </c>
      <c r="F16" s="2" t="s">
        <v>192</v>
      </c>
      <c r="G16" s="1"/>
      <c r="H16" s="1" t="s">
        <v>104</v>
      </c>
      <c r="I16" s="2" t="s">
        <v>179</v>
      </c>
      <c r="J16" s="2" t="s">
        <v>180</v>
      </c>
      <c r="K16" s="1"/>
      <c r="L16" s="1" t="s">
        <v>104</v>
      </c>
      <c r="M16" s="2" t="s">
        <v>181</v>
      </c>
      <c r="N16" s="2" t="s">
        <v>182</v>
      </c>
      <c r="O16" s="1"/>
      <c r="P16" s="2" t="s">
        <v>104</v>
      </c>
      <c r="Q16" s="2" t="str">
        <f>Argumenter!B164</f>
        <v>Genbrug på matriklen</v>
      </c>
      <c r="R16" s="2" t="str">
        <f>Argumenter!B169</f>
        <v>Genanvendelse uden for matriklen</v>
      </c>
      <c r="S16" s="1"/>
      <c r="T16" s="1" t="s">
        <v>157</v>
      </c>
      <c r="U16" s="1" t="s">
        <v>162</v>
      </c>
      <c r="V16" s="1" t="s">
        <v>159</v>
      </c>
      <c r="W16" s="1"/>
    </row>
    <row r="17" spans="4:23" ht="207" x14ac:dyDescent="0.3">
      <c r="D17" s="1" t="s">
        <v>156</v>
      </c>
      <c r="E17" s="2" t="s">
        <v>187</v>
      </c>
      <c r="F17" s="2" t="s">
        <v>188</v>
      </c>
      <c r="G17" s="1"/>
      <c r="H17" s="1" t="s">
        <v>156</v>
      </c>
      <c r="I17" s="2" t="s">
        <v>177</v>
      </c>
      <c r="J17" s="2" t="s">
        <v>178</v>
      </c>
      <c r="K17" s="1"/>
      <c r="L17" s="1" t="s">
        <v>156</v>
      </c>
      <c r="M17" s="2" t="s">
        <v>183</v>
      </c>
      <c r="N17" s="2" t="s">
        <v>184</v>
      </c>
      <c r="O17" s="1"/>
      <c r="P17" s="2" t="s">
        <v>156</v>
      </c>
      <c r="Q17" s="2" t="str">
        <f>Argumenter!B164</f>
        <v>Genbrug på matriklen</v>
      </c>
      <c r="R17" s="2" t="str">
        <f>Argumenter!B169</f>
        <v>Genanvendelse uden for matriklen</v>
      </c>
      <c r="S17" s="1"/>
      <c r="T17" s="2" t="s">
        <v>166</v>
      </c>
      <c r="U17" s="4" t="s">
        <v>168</v>
      </c>
      <c r="V17" s="3" t="s">
        <v>155</v>
      </c>
      <c r="W17" s="1"/>
    </row>
    <row r="18" spans="4:23" ht="207" x14ac:dyDescent="0.3">
      <c r="D18" s="1" t="s">
        <v>141</v>
      </c>
      <c r="E18" s="4" t="s">
        <v>190</v>
      </c>
      <c r="F18" s="2" t="s">
        <v>189</v>
      </c>
      <c r="G18" s="1"/>
      <c r="H18" s="1" t="s">
        <v>141</v>
      </c>
      <c r="I18" s="4" t="s">
        <v>175</v>
      </c>
      <c r="J18" s="4" t="s">
        <v>176</v>
      </c>
      <c r="K18" s="1"/>
      <c r="L18" s="1" t="s">
        <v>141</v>
      </c>
      <c r="M18" s="2" t="s">
        <v>185</v>
      </c>
      <c r="N18" s="2" t="s">
        <v>186</v>
      </c>
      <c r="O18" s="1"/>
      <c r="P18" s="2" t="s">
        <v>141</v>
      </c>
      <c r="Q18" s="2" t="str">
        <f>Argumenter!B164</f>
        <v>Genbrug på matriklen</v>
      </c>
      <c r="R18" s="2" t="str">
        <f>Argumenter!B169</f>
        <v>Genanvendelse uden for matriklen</v>
      </c>
      <c r="S18" s="1"/>
      <c r="T18" s="2" t="s">
        <v>166</v>
      </c>
      <c r="U18" s="4" t="s">
        <v>168</v>
      </c>
      <c r="V18" s="3" t="s">
        <v>155</v>
      </c>
      <c r="W18" s="1"/>
    </row>
    <row r="19" spans="4:23" ht="165" x14ac:dyDescent="0.3">
      <c r="D19" s="1"/>
      <c r="E19" s="1"/>
      <c r="F19" s="1"/>
      <c r="G19" s="1"/>
      <c r="H19" s="1"/>
      <c r="I19" s="1"/>
      <c r="J19" s="1"/>
      <c r="K19" s="1"/>
      <c r="L19" s="1"/>
      <c r="M19" s="1"/>
      <c r="N19" s="1"/>
      <c r="O19" s="1"/>
      <c r="P19" s="1"/>
      <c r="Q19" s="1"/>
      <c r="R19" s="1"/>
      <c r="S19" s="1"/>
      <c r="T19" s="1" t="s">
        <v>161</v>
      </c>
      <c r="U19" s="4" t="s">
        <v>167</v>
      </c>
      <c r="V19" s="3" t="s">
        <v>142</v>
      </c>
      <c r="W19"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42CE0-4B7B-4601-9F27-B24CE3BD1E53}">
  <sheetPr>
    <tabColor rgb="FFDDEBD2"/>
  </sheetPr>
  <dimension ref="B1:O68"/>
  <sheetViews>
    <sheetView topLeftCell="A2" zoomScale="55" zoomScaleNormal="55" workbookViewId="0">
      <pane xSplit="4" ySplit="2" topLeftCell="E4" activePane="bottomRight" state="frozen"/>
      <selection activeCell="A2" sqref="A2"/>
      <selection pane="topRight" activeCell="E2" sqref="E2"/>
      <selection pane="bottomLeft" activeCell="A4" sqref="A4"/>
      <selection pane="bottomRight" activeCell="N11" sqref="N11"/>
    </sheetView>
  </sheetViews>
  <sheetFormatPr defaultColWidth="9.109375" defaultRowHeight="13.8" x14ac:dyDescent="0.25"/>
  <cols>
    <col min="1" max="3" width="9.109375" style="6"/>
    <col min="4" max="4" width="26.109375" style="6" customWidth="1"/>
    <col min="5" max="5" width="33.5546875" style="6" customWidth="1"/>
    <col min="6" max="7" width="30.109375" style="6" customWidth="1"/>
    <col min="8" max="8" width="33.33203125" style="6" customWidth="1"/>
    <col min="9" max="9" width="31.5546875" style="6" customWidth="1"/>
    <col min="10" max="10" width="32" style="6" customWidth="1"/>
    <col min="11" max="11" width="39.109375" style="6" customWidth="1"/>
    <col min="12" max="13" width="30.44140625" style="6" customWidth="1"/>
    <col min="14" max="14" width="35.6640625" style="6" customWidth="1"/>
    <col min="15" max="15" width="57.6640625" style="6" customWidth="1"/>
    <col min="16" max="16" width="32" style="6" customWidth="1"/>
    <col min="17" max="19" width="30.6640625" style="6" customWidth="1"/>
    <col min="20" max="20" width="9.109375" style="6"/>
    <col min="21" max="23" width="30.6640625" style="6" customWidth="1"/>
    <col min="24" max="16384" width="9.109375" style="6"/>
  </cols>
  <sheetData>
    <row r="1" spans="2:15" hidden="1" x14ac:dyDescent="0.25"/>
    <row r="2" spans="2:15" s="420" customFormat="1" ht="45" customHeight="1" x14ac:dyDescent="0.7">
      <c r="D2" s="544" t="s">
        <v>451</v>
      </c>
      <c r="E2" s="544"/>
    </row>
    <row r="3" spans="2:15" ht="15" customHeight="1" x14ac:dyDescent="0.25">
      <c r="D3" s="546"/>
      <c r="E3" s="546"/>
      <c r="F3" s="546"/>
      <c r="G3" s="546"/>
      <c r="H3" s="546"/>
      <c r="I3" s="546"/>
    </row>
    <row r="5" spans="2:15" ht="35.25" customHeight="1" x14ac:dyDescent="0.25">
      <c r="B5" s="547" t="s">
        <v>125</v>
      </c>
      <c r="C5" s="436"/>
      <c r="D5" s="471" t="s">
        <v>20</v>
      </c>
      <c r="E5" s="472" t="s">
        <v>96</v>
      </c>
      <c r="F5" s="548" t="s">
        <v>54</v>
      </c>
      <c r="G5" s="549"/>
      <c r="H5" s="550" t="s">
        <v>55</v>
      </c>
      <c r="I5" s="551"/>
      <c r="J5" s="551"/>
      <c r="K5" s="552"/>
      <c r="L5" s="480" t="s">
        <v>323</v>
      </c>
    </row>
    <row r="6" spans="2:15" ht="97.5" customHeight="1" x14ac:dyDescent="0.25">
      <c r="B6" s="547"/>
      <c r="C6" s="436"/>
      <c r="D6" s="545" t="s">
        <v>31</v>
      </c>
      <c r="E6" s="457" t="s">
        <v>273</v>
      </c>
      <c r="F6" s="458" t="s">
        <v>345</v>
      </c>
      <c r="G6" s="459" t="s">
        <v>337</v>
      </c>
      <c r="H6" s="461" t="s">
        <v>341</v>
      </c>
      <c r="I6" s="461" t="s">
        <v>308</v>
      </c>
      <c r="J6" s="553" t="s">
        <v>329</v>
      </c>
      <c r="K6" s="554"/>
      <c r="L6" s="478" t="s">
        <v>332</v>
      </c>
    </row>
    <row r="7" spans="2:15" ht="29.25" customHeight="1" x14ac:dyDescent="0.25">
      <c r="B7" s="547"/>
      <c r="C7" s="436"/>
      <c r="D7" s="545"/>
      <c r="E7" s="464" t="s">
        <v>272</v>
      </c>
      <c r="F7" s="465" t="s">
        <v>339</v>
      </c>
      <c r="G7" s="465" t="s">
        <v>330</v>
      </c>
      <c r="H7" s="479" t="s">
        <v>271</v>
      </c>
      <c r="I7" s="479" t="s">
        <v>271</v>
      </c>
      <c r="J7" s="555" t="s">
        <v>271</v>
      </c>
      <c r="K7" s="556"/>
      <c r="L7" s="469"/>
    </row>
    <row r="8" spans="2:15" ht="113.4" customHeight="1" x14ac:dyDescent="0.25">
      <c r="B8" s="547"/>
      <c r="C8" s="436"/>
      <c r="D8" s="545"/>
      <c r="E8" s="481" t="s">
        <v>344</v>
      </c>
      <c r="F8" s="482">
        <v>0</v>
      </c>
      <c r="G8" s="482">
        <v>0</v>
      </c>
      <c r="H8" s="483" t="s">
        <v>452</v>
      </c>
      <c r="I8" s="483" t="s">
        <v>452</v>
      </c>
      <c r="J8" s="557" t="s">
        <v>452</v>
      </c>
      <c r="K8" s="558"/>
      <c r="L8" s="470"/>
    </row>
    <row r="9" spans="2:15" ht="65.099999999999994" customHeight="1" x14ac:dyDescent="0.25">
      <c r="B9" s="547"/>
      <c r="C9" s="436"/>
      <c r="D9" s="8"/>
      <c r="E9" s="9"/>
      <c r="F9" s="10"/>
      <c r="G9" s="10"/>
      <c r="H9" s="10"/>
      <c r="I9" s="11"/>
      <c r="J9" s="11"/>
    </row>
    <row r="10" spans="2:15" ht="35.25" customHeight="1" x14ac:dyDescent="0.25">
      <c r="B10" s="547"/>
      <c r="C10" s="436"/>
      <c r="D10" s="471" t="s">
        <v>20</v>
      </c>
      <c r="E10" s="472" t="s">
        <v>96</v>
      </c>
      <c r="F10" s="548" t="s">
        <v>54</v>
      </c>
      <c r="G10" s="549"/>
      <c r="H10" s="477" t="s">
        <v>285</v>
      </c>
      <c r="I10" s="550" t="s">
        <v>55</v>
      </c>
      <c r="J10" s="551"/>
      <c r="K10" s="552"/>
      <c r="L10" s="474" t="s">
        <v>323</v>
      </c>
      <c r="M10" s="12"/>
      <c r="N10" s="12"/>
    </row>
    <row r="11" spans="2:15" ht="97.5" customHeight="1" x14ac:dyDescent="0.25">
      <c r="B11" s="547"/>
      <c r="C11" s="436"/>
      <c r="D11" s="545" t="s">
        <v>105</v>
      </c>
      <c r="E11" s="457" t="s">
        <v>273</v>
      </c>
      <c r="F11" s="458" t="s">
        <v>345</v>
      </c>
      <c r="G11" s="459" t="s">
        <v>333</v>
      </c>
      <c r="H11" s="475" t="s">
        <v>114</v>
      </c>
      <c r="I11" s="461" t="s">
        <v>306</v>
      </c>
      <c r="J11" s="553" t="s">
        <v>307</v>
      </c>
      <c r="K11" s="559"/>
      <c r="L11" s="463" t="s">
        <v>334</v>
      </c>
      <c r="M11" s="13"/>
    </row>
    <row r="12" spans="2:15" ht="29.25" customHeight="1" x14ac:dyDescent="0.25">
      <c r="B12" s="547"/>
      <c r="C12" s="436"/>
      <c r="D12" s="545"/>
      <c r="E12" s="464" t="s">
        <v>272</v>
      </c>
      <c r="F12" s="465" t="s">
        <v>340</v>
      </c>
      <c r="G12" s="465" t="s">
        <v>330</v>
      </c>
      <c r="H12" s="476" t="s">
        <v>309</v>
      </c>
      <c r="I12" s="467" t="s">
        <v>271</v>
      </c>
      <c r="J12" s="555" t="s">
        <v>271</v>
      </c>
      <c r="K12" s="561"/>
      <c r="L12" s="469"/>
      <c r="M12" s="13"/>
    </row>
    <row r="13" spans="2:15" ht="105.6" customHeight="1" x14ac:dyDescent="0.25">
      <c r="B13" s="547"/>
      <c r="C13" s="436"/>
      <c r="D13" s="545"/>
      <c r="E13" s="484" t="s">
        <v>344</v>
      </c>
      <c r="F13" s="482">
        <v>0</v>
      </c>
      <c r="G13" s="482">
        <v>0</v>
      </c>
      <c r="H13" s="485" t="s">
        <v>453</v>
      </c>
      <c r="I13" s="483" t="s">
        <v>452</v>
      </c>
      <c r="J13" s="557" t="s">
        <v>452</v>
      </c>
      <c r="K13" s="560"/>
      <c r="L13" s="470"/>
      <c r="N13" s="12"/>
      <c r="O13" s="12"/>
    </row>
    <row r="14" spans="2:15" ht="65.099999999999994" customHeight="1" x14ac:dyDescent="0.25">
      <c r="B14" s="547"/>
      <c r="C14" s="436"/>
      <c r="D14" s="8"/>
      <c r="E14" s="9"/>
      <c r="F14" s="10"/>
      <c r="G14" s="11"/>
      <c r="H14" s="10"/>
      <c r="I14" s="11"/>
      <c r="K14" s="14"/>
      <c r="L14" s="14"/>
      <c r="N14" s="12"/>
      <c r="O14" s="12"/>
    </row>
    <row r="15" spans="2:15" ht="35.25" customHeight="1" x14ac:dyDescent="0.25">
      <c r="B15" s="547"/>
      <c r="C15" s="436"/>
      <c r="D15" s="471" t="s">
        <v>20</v>
      </c>
      <c r="E15" s="472" t="s">
        <v>96</v>
      </c>
      <c r="F15" s="548" t="s">
        <v>54</v>
      </c>
      <c r="G15" s="549"/>
      <c r="H15" s="473" t="s">
        <v>29</v>
      </c>
      <c r="I15" s="550" t="s">
        <v>55</v>
      </c>
      <c r="J15" s="551"/>
      <c r="K15" s="552"/>
      <c r="L15" s="474" t="s">
        <v>323</v>
      </c>
      <c r="N15" s="12"/>
      <c r="O15" s="12"/>
    </row>
    <row r="16" spans="2:15" ht="97.5" customHeight="1" x14ac:dyDescent="0.25">
      <c r="B16" s="547"/>
      <c r="C16" s="436"/>
      <c r="D16" s="545" t="s">
        <v>115</v>
      </c>
      <c r="E16" s="457" t="s">
        <v>273</v>
      </c>
      <c r="F16" s="458" t="s">
        <v>345</v>
      </c>
      <c r="G16" s="459" t="s">
        <v>335</v>
      </c>
      <c r="H16" s="460" t="s">
        <v>216</v>
      </c>
      <c r="I16" s="461" t="s">
        <v>224</v>
      </c>
      <c r="J16" s="461" t="s">
        <v>222</v>
      </c>
      <c r="K16" s="462" t="s">
        <v>116</v>
      </c>
      <c r="L16" s="463" t="s">
        <v>336</v>
      </c>
    </row>
    <row r="17" spans="2:15" ht="29.25" customHeight="1" x14ac:dyDescent="0.25">
      <c r="B17" s="547"/>
      <c r="C17" s="436"/>
      <c r="D17" s="545"/>
      <c r="E17" s="464" t="s">
        <v>272</v>
      </c>
      <c r="F17" s="465" t="s">
        <v>340</v>
      </c>
      <c r="G17" s="465" t="s">
        <v>330</v>
      </c>
      <c r="H17" s="466" t="s">
        <v>271</v>
      </c>
      <c r="I17" s="467" t="s">
        <v>271</v>
      </c>
      <c r="J17" s="467" t="s">
        <v>271</v>
      </c>
      <c r="K17" s="468" t="s">
        <v>271</v>
      </c>
      <c r="L17" s="469"/>
    </row>
    <row r="18" spans="2:15" ht="104.4" customHeight="1" x14ac:dyDescent="0.25">
      <c r="B18" s="547"/>
      <c r="C18" s="15"/>
      <c r="D18" s="545"/>
      <c r="E18" s="484" t="s">
        <v>344</v>
      </c>
      <c r="F18" s="482">
        <v>0</v>
      </c>
      <c r="G18" s="482">
        <v>0</v>
      </c>
      <c r="H18" s="486" t="s">
        <v>452</v>
      </c>
      <c r="I18" s="487" t="s">
        <v>452</v>
      </c>
      <c r="J18" s="483" t="s">
        <v>452</v>
      </c>
      <c r="K18" s="488" t="s">
        <v>452</v>
      </c>
      <c r="L18" s="470"/>
    </row>
    <row r="19" spans="2:15" x14ac:dyDescent="0.25">
      <c r="B19" s="15"/>
      <c r="C19" s="15"/>
      <c r="I19" s="16"/>
      <c r="J19" s="17"/>
    </row>
    <row r="20" spans="2:15" x14ac:dyDescent="0.25">
      <c r="I20" s="16"/>
      <c r="J20" s="17"/>
    </row>
    <row r="21" spans="2:15" ht="16.8" x14ac:dyDescent="0.25">
      <c r="D21" s="439"/>
      <c r="E21" s="439"/>
      <c r="F21" s="439"/>
      <c r="G21" s="438"/>
      <c r="H21" s="438"/>
      <c r="I21" s="438"/>
      <c r="J21" s="438"/>
      <c r="K21" s="438"/>
      <c r="L21" s="438"/>
      <c r="M21" s="438"/>
      <c r="N21" s="438"/>
      <c r="O21" s="438"/>
    </row>
    <row r="22" spans="2:15" ht="57" customHeight="1" x14ac:dyDescent="0.25"/>
    <row r="23" spans="2:15" ht="14.4" customHeight="1" x14ac:dyDescent="0.25"/>
    <row r="24" spans="2:15" ht="93.75" customHeight="1" x14ac:dyDescent="0.25"/>
    <row r="25" spans="2:15" ht="18" customHeight="1" x14ac:dyDescent="0.25"/>
    <row r="26" spans="2:15" ht="18" customHeight="1" x14ac:dyDescent="0.25"/>
    <row r="27" spans="2:15" ht="195" customHeight="1" x14ac:dyDescent="0.25"/>
    <row r="28" spans="2:15" ht="18" customHeight="1" x14ac:dyDescent="0.25"/>
    <row r="29" spans="2:15" ht="192" customHeight="1" x14ac:dyDescent="0.25"/>
    <row r="30" spans="2:15" ht="18" customHeight="1" x14ac:dyDescent="0.25"/>
    <row r="31" spans="2:15" ht="150" customHeight="1" x14ac:dyDescent="0.25"/>
    <row r="32" spans="2:15" ht="17.25" customHeight="1" x14ac:dyDescent="0.25"/>
    <row r="33" spans="7:15" ht="57.75" customHeight="1" x14ac:dyDescent="0.25">
      <c r="G33" s="455"/>
      <c r="H33" s="456"/>
      <c r="I33" s="456"/>
      <c r="J33" s="456"/>
      <c r="K33" s="455"/>
      <c r="L33" s="456"/>
      <c r="M33" s="455"/>
      <c r="N33" s="455"/>
      <c r="O33" s="455"/>
    </row>
    <row r="34" spans="7:15" x14ac:dyDescent="0.25">
      <c r="I34" s="43"/>
      <c r="J34" s="43"/>
      <c r="K34" s="43"/>
      <c r="L34" s="43"/>
      <c r="M34" s="43"/>
      <c r="N34" s="43"/>
      <c r="O34" s="43"/>
    </row>
    <row r="37" spans="7:15" ht="54" customHeight="1" x14ac:dyDescent="0.25"/>
    <row r="55" ht="17.25" customHeight="1" x14ac:dyDescent="0.25"/>
    <row r="68" ht="67.5" customHeight="1" x14ac:dyDescent="0.25"/>
  </sheetData>
  <sheetProtection sheet="1" objects="1" scenarios="1"/>
  <mergeCells count="17">
    <mergeCell ref="F15:G15"/>
    <mergeCell ref="D16:D18"/>
    <mergeCell ref="D3:I3"/>
    <mergeCell ref="D6:D8"/>
    <mergeCell ref="B5:B18"/>
    <mergeCell ref="D11:D13"/>
    <mergeCell ref="F5:G5"/>
    <mergeCell ref="F10:G10"/>
    <mergeCell ref="I15:K15"/>
    <mergeCell ref="I10:K10"/>
    <mergeCell ref="H5:K5"/>
    <mergeCell ref="J6:K6"/>
    <mergeCell ref="J7:K7"/>
    <mergeCell ref="J8:K8"/>
    <mergeCell ref="J11:K11"/>
    <mergeCell ref="J13:K13"/>
    <mergeCell ref="J12:K12"/>
  </mergeCells>
  <phoneticPr fontId="8" type="noConversion"/>
  <dataValidations xWindow="1377" yWindow="864" count="8">
    <dataValidation type="list" allowBlank="1" showInputMessage="1" showErrorMessage="1" promptTitle="Anvend Scroll-down menu" prompt="Klik på pilen" sqref="H18" xr:uid="{E6DE9262-10D1-401A-8A98-AA9E36B4D52E}">
      <formula1>"Klik her,Belægning,Fundament"</formula1>
    </dataValidation>
    <dataValidation type="list" allowBlank="1" showInputMessage="1" showErrorMessage="1" promptTitle="Anvend Scroll-down menu" prompt="Klik på pilen" sqref="K18 I18 I13 I8" xr:uid="{CE72FB56-C2EA-46DB-A92C-C1D311333948}">
      <formula1>"Klik her,Ja, Nej"</formula1>
    </dataValidation>
    <dataValidation type="list" allowBlank="1" showInputMessage="1" showErrorMessage="1" sqref="G9" xr:uid="{C95756D3-7800-4549-B7B0-5F21783720D8}">
      <formula1>"Nej, V1/V2, Områdeklassificeret"</formula1>
    </dataValidation>
    <dataValidation type="list" allowBlank="1" showInputMessage="1" showErrorMessage="1" sqref="I9" xr:uid="{DFC1F562-0B02-4FAB-A55D-D5AC7E43BABB}">
      <formula1>"Ren jord, Forurenet Jord,Ingen prøvetagning"</formula1>
    </dataValidation>
    <dataValidation type="list" allowBlank="1" showInputMessage="1" showErrorMessage="1" promptTitle="Anvend Scroll-down menu" prompt="Klik på pilen" sqref="H8" xr:uid="{ACAB553C-86AC-4CD6-A439-A4ADFC9DE49F}">
      <formula1>"Klik her,Ej kortlagt, V1/V2, Områdeklassificeret"</formula1>
    </dataValidation>
    <dataValidation type="list" allowBlank="1" showInputMessage="1" showErrorMessage="1" promptTitle="Anvend Scroll-down menu" prompt="Klik på pilen" sqref="J8:K8" xr:uid="{DD467D67-D00C-4E46-AFD3-6769EF111D7A}">
      <formula1>"Klik her,Ren jord, Forurenet Jord,Ingen prøvetagning"</formula1>
    </dataValidation>
    <dataValidation type="list" allowBlank="1" showInputMessage="1" showErrorMessage="1" promptTitle="Anvend Scroll-down menu" prompt="Klik på pilen" sqref="J13:K13" xr:uid="{1A44B58F-A012-4E1D-916C-3D403B0AA03E}">
      <formula1>"Klik her,Ja,Nej"</formula1>
    </dataValidation>
    <dataValidation type="list" allowBlank="1" showInputMessage="1" showErrorMessage="1" promptTitle="Anvend Scroll-down menu" prompt="Klik på pilen_x000a_" sqref="J18" xr:uid="{F579C811-5EDB-4733-831A-2958DDC59132}">
      <formula1>"Klik her,Ja, Nej"</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F58F9-6D83-4C4F-ADF6-A7E5F7751D81}">
  <sheetPr>
    <tabColor rgb="FFDDEBD2"/>
  </sheetPr>
  <dimension ref="B1:P68"/>
  <sheetViews>
    <sheetView topLeftCell="A2" zoomScale="59" zoomScaleNormal="59" workbookViewId="0">
      <selection activeCell="J27" sqref="J27"/>
    </sheetView>
  </sheetViews>
  <sheetFormatPr defaultColWidth="9.109375" defaultRowHeight="13.8" x14ac:dyDescent="0.25"/>
  <cols>
    <col min="1" max="3" width="9.109375" style="6"/>
    <col min="4" max="4" width="20.88671875" style="6" customWidth="1"/>
    <col min="5" max="5" width="33.5546875" style="6" customWidth="1"/>
    <col min="6" max="6" width="21.6640625" style="6" customWidth="1"/>
    <col min="7" max="7" width="43.88671875" style="6" customWidth="1"/>
    <col min="8" max="8" width="33.33203125" style="6" customWidth="1"/>
    <col min="9" max="9" width="35" style="6" customWidth="1"/>
    <col min="10" max="10" width="36.44140625" style="6" customWidth="1"/>
    <col min="11" max="11" width="39.5546875" style="6" customWidth="1"/>
    <col min="12" max="12" width="22.5546875" style="6" customWidth="1"/>
    <col min="13" max="13" width="35.33203125" style="6" customWidth="1"/>
    <col min="14" max="14" width="35.6640625" style="6" customWidth="1"/>
    <col min="15" max="15" width="30.33203125" style="6" customWidth="1"/>
    <col min="16" max="16" width="34.44140625" style="6" customWidth="1"/>
    <col min="17" max="19" width="30.6640625" style="6" customWidth="1"/>
    <col min="20" max="20" width="9.109375" style="6"/>
    <col min="21" max="23" width="30.6640625" style="6" customWidth="1"/>
    <col min="24" max="16384" width="9.109375" style="6"/>
  </cols>
  <sheetData>
    <row r="1" spans="2:15" hidden="1" x14ac:dyDescent="0.25"/>
    <row r="2" spans="2:15" s="420" customFormat="1" ht="44.1" customHeight="1" x14ac:dyDescent="0.7">
      <c r="D2" s="568" t="s">
        <v>305</v>
      </c>
      <c r="E2" s="568"/>
    </row>
    <row r="3" spans="2:15" ht="27.6" hidden="1" x14ac:dyDescent="0.25">
      <c r="D3" s="546"/>
      <c r="E3" s="546"/>
      <c r="F3" s="546"/>
      <c r="G3" s="546"/>
      <c r="H3" s="546"/>
      <c r="I3" s="546"/>
    </row>
    <row r="4" spans="2:15" hidden="1" x14ac:dyDescent="0.25"/>
    <row r="5" spans="2:15" ht="35.1" hidden="1" customHeight="1" x14ac:dyDescent="0.25">
      <c r="B5" s="547"/>
      <c r="C5" s="436"/>
      <c r="D5" s="442"/>
      <c r="E5" s="442"/>
      <c r="F5" s="567"/>
      <c r="G5" s="567"/>
      <c r="H5" s="567"/>
      <c r="I5" s="567"/>
      <c r="J5" s="567"/>
      <c r="K5" s="567"/>
      <c r="L5" s="440"/>
    </row>
    <row r="6" spans="2:15" ht="97.5" hidden="1" customHeight="1" x14ac:dyDescent="0.25">
      <c r="B6" s="547"/>
      <c r="C6" s="436"/>
      <c r="D6" s="563"/>
      <c r="E6" s="12"/>
      <c r="F6" s="7"/>
      <c r="G6" s="12"/>
      <c r="H6" s="12"/>
      <c r="I6" s="12"/>
      <c r="J6" s="564"/>
      <c r="K6" s="564"/>
      <c r="L6" s="441"/>
    </row>
    <row r="7" spans="2:15" ht="29.1" hidden="1" customHeight="1" x14ac:dyDescent="0.25">
      <c r="B7" s="547"/>
      <c r="C7" s="436"/>
      <c r="D7" s="563"/>
      <c r="E7" s="443"/>
      <c r="F7" s="444"/>
      <c r="G7" s="444"/>
      <c r="H7" s="443"/>
      <c r="I7" s="443"/>
      <c r="J7" s="565"/>
      <c r="K7" s="565"/>
      <c r="L7" s="12"/>
    </row>
    <row r="8" spans="2:15" ht="95.1" hidden="1" customHeight="1" x14ac:dyDescent="0.25">
      <c r="B8" s="547"/>
      <c r="C8" s="436"/>
      <c r="D8" s="563"/>
      <c r="E8" s="445"/>
      <c r="F8" s="446"/>
      <c r="G8" s="446"/>
      <c r="H8" s="446"/>
      <c r="I8" s="446"/>
      <c r="J8" s="566"/>
      <c r="K8" s="566"/>
      <c r="L8" s="14"/>
    </row>
    <row r="9" spans="2:15" ht="65.099999999999994" hidden="1" customHeight="1" x14ac:dyDescent="0.25">
      <c r="B9" s="547"/>
      <c r="C9" s="436"/>
      <c r="D9" s="8"/>
      <c r="E9" s="9"/>
      <c r="F9" s="10"/>
      <c r="G9" s="10"/>
      <c r="H9" s="10"/>
      <c r="I9" s="11"/>
      <c r="J9" s="11"/>
    </row>
    <row r="10" spans="2:15" ht="35.1" hidden="1" customHeight="1" x14ac:dyDescent="0.25">
      <c r="B10" s="547"/>
      <c r="C10" s="436"/>
      <c r="D10" s="442"/>
      <c r="E10" s="442"/>
      <c r="F10" s="567"/>
      <c r="G10" s="567"/>
      <c r="H10" s="442"/>
      <c r="I10" s="567"/>
      <c r="J10" s="567"/>
      <c r="K10" s="567"/>
      <c r="L10" s="440"/>
      <c r="M10" s="12"/>
      <c r="N10" s="12"/>
    </row>
    <row r="11" spans="2:15" ht="15" hidden="1" customHeight="1" x14ac:dyDescent="0.25">
      <c r="B11" s="547"/>
      <c r="C11" s="436"/>
      <c r="D11" s="563"/>
      <c r="E11" s="12"/>
      <c r="F11" s="7"/>
      <c r="G11" s="12"/>
      <c r="H11" s="12"/>
      <c r="I11" s="12"/>
      <c r="J11" s="564"/>
      <c r="K11" s="564"/>
      <c r="L11" s="11"/>
      <c r="M11" s="13"/>
    </row>
    <row r="12" spans="2:15" ht="29.1" hidden="1" customHeight="1" x14ac:dyDescent="0.25">
      <c r="B12" s="547"/>
      <c r="C12" s="436"/>
      <c r="D12" s="563"/>
      <c r="E12" s="443"/>
      <c r="F12" s="444"/>
      <c r="G12" s="444"/>
      <c r="H12" s="443"/>
      <c r="I12" s="443"/>
      <c r="J12" s="565"/>
      <c r="K12" s="565"/>
      <c r="L12" s="12"/>
      <c r="M12" s="13"/>
    </row>
    <row r="13" spans="2:15" ht="95.1" hidden="1" customHeight="1" x14ac:dyDescent="0.25">
      <c r="B13" s="547"/>
      <c r="C13" s="436"/>
      <c r="D13" s="563"/>
      <c r="E13" s="445"/>
      <c r="F13" s="446"/>
      <c r="G13" s="446"/>
      <c r="H13" s="445"/>
      <c r="I13" s="446"/>
      <c r="J13" s="566"/>
      <c r="K13" s="566"/>
      <c r="L13" s="14"/>
      <c r="N13" s="12"/>
      <c r="O13" s="12"/>
    </row>
    <row r="14" spans="2:15" ht="65.099999999999994" hidden="1" customHeight="1" x14ac:dyDescent="0.25">
      <c r="B14" s="547"/>
      <c r="C14" s="436"/>
      <c r="D14" s="8"/>
      <c r="E14" s="9"/>
      <c r="F14" s="10"/>
      <c r="G14" s="11"/>
      <c r="H14" s="10"/>
      <c r="I14" s="11"/>
      <c r="K14" s="14"/>
      <c r="L14" s="14"/>
      <c r="N14" s="12"/>
      <c r="O14" s="12"/>
    </row>
    <row r="15" spans="2:15" ht="35.1" hidden="1" customHeight="1" x14ac:dyDescent="0.25">
      <c r="B15" s="547"/>
      <c r="C15" s="436"/>
      <c r="D15" s="442"/>
      <c r="E15" s="442"/>
      <c r="F15" s="567"/>
      <c r="G15" s="567"/>
      <c r="H15" s="442"/>
      <c r="I15" s="567"/>
      <c r="J15" s="567"/>
      <c r="K15" s="567"/>
      <c r="L15" s="440"/>
      <c r="N15" s="12"/>
      <c r="O15" s="12"/>
    </row>
    <row r="16" spans="2:15" ht="97.5" hidden="1" customHeight="1" x14ac:dyDescent="0.25">
      <c r="B16" s="547"/>
      <c r="C16" s="436"/>
      <c r="D16" s="563"/>
      <c r="E16" s="12"/>
      <c r="F16" s="7"/>
      <c r="G16" s="12"/>
      <c r="H16" s="12"/>
      <c r="I16" s="12"/>
      <c r="J16" s="12"/>
      <c r="K16" s="12"/>
      <c r="L16" s="11"/>
    </row>
    <row r="17" spans="2:16" ht="29.1" hidden="1" customHeight="1" x14ac:dyDescent="0.25">
      <c r="B17" s="547"/>
      <c r="C17" s="436"/>
      <c r="D17" s="563"/>
      <c r="E17" s="443"/>
      <c r="F17" s="444"/>
      <c r="G17" s="444"/>
      <c r="H17" s="443"/>
      <c r="I17" s="443"/>
      <c r="J17" s="443"/>
      <c r="K17" s="443"/>
      <c r="L17" s="12"/>
    </row>
    <row r="18" spans="2:16" ht="95.1" hidden="1" customHeight="1" x14ac:dyDescent="0.25">
      <c r="B18" s="547"/>
      <c r="C18" s="15"/>
      <c r="D18" s="563"/>
      <c r="E18" s="445"/>
      <c r="F18" s="446"/>
      <c r="G18" s="446"/>
      <c r="H18" s="445"/>
      <c r="I18" s="445"/>
      <c r="J18" s="446"/>
      <c r="K18" s="446"/>
      <c r="L18" s="14"/>
    </row>
    <row r="19" spans="2:16" hidden="1" x14ac:dyDescent="0.25">
      <c r="B19" s="15"/>
      <c r="C19" s="15"/>
      <c r="I19" s="16"/>
      <c r="J19" s="17"/>
    </row>
    <row r="20" spans="2:16" hidden="1" x14ac:dyDescent="0.25">
      <c r="I20" s="16"/>
      <c r="J20" s="17"/>
    </row>
    <row r="21" spans="2:16" ht="26.4" customHeight="1" x14ac:dyDescent="0.25">
      <c r="D21" s="439"/>
      <c r="E21" s="439"/>
      <c r="F21" s="439"/>
      <c r="G21" s="438"/>
      <c r="H21" s="438"/>
      <c r="I21" s="438"/>
      <c r="J21" s="438"/>
      <c r="K21" s="438"/>
      <c r="L21" s="438"/>
      <c r="M21" s="438"/>
      <c r="N21" s="438"/>
      <c r="O21" s="438"/>
    </row>
    <row r="22" spans="2:16" ht="27.6" customHeight="1" x14ac:dyDescent="0.45">
      <c r="D22" s="435" t="s">
        <v>225</v>
      </c>
      <c r="E22" s="435"/>
      <c r="F22" s="435"/>
      <c r="G22" s="435"/>
      <c r="H22" s="435"/>
      <c r="I22" s="435"/>
      <c r="J22" s="435"/>
      <c r="K22" s="435"/>
      <c r="L22" s="435"/>
      <c r="M22" s="435"/>
      <c r="N22" s="435"/>
      <c r="O22" s="435"/>
    </row>
    <row r="23" spans="2:16" ht="29.1" customHeight="1" x14ac:dyDescent="0.25"/>
    <row r="24" spans="2:16" ht="93.75" customHeight="1" x14ac:dyDescent="0.25">
      <c r="B24" s="562" t="s">
        <v>126</v>
      </c>
      <c r="C24" s="437"/>
      <c r="D24" s="18" t="s">
        <v>20</v>
      </c>
      <c r="E24" s="18" t="s">
        <v>96</v>
      </c>
      <c r="F24" s="19" t="s">
        <v>45</v>
      </c>
      <c r="G24" s="20" t="s">
        <v>275</v>
      </c>
      <c r="H24" s="21" t="s">
        <v>95</v>
      </c>
      <c r="I24" s="22" t="s">
        <v>112</v>
      </c>
      <c r="J24" s="20" t="s">
        <v>291</v>
      </c>
      <c r="K24" s="21" t="s">
        <v>346</v>
      </c>
      <c r="L24" s="22" t="s">
        <v>64</v>
      </c>
      <c r="M24" s="20" t="s">
        <v>348</v>
      </c>
      <c r="N24" s="22" t="s">
        <v>226</v>
      </c>
      <c r="O24" s="20" t="s">
        <v>347</v>
      </c>
      <c r="P24" s="22" t="s">
        <v>279</v>
      </c>
    </row>
    <row r="25" spans="2:16" ht="18" customHeight="1" x14ac:dyDescent="0.25">
      <c r="B25" s="562"/>
      <c r="C25" s="437"/>
      <c r="D25" s="410" t="s">
        <v>63</v>
      </c>
      <c r="E25" s="410"/>
      <c r="F25" s="417" t="s">
        <v>11</v>
      </c>
      <c r="G25" s="411"/>
      <c r="H25" s="412"/>
      <c r="I25" s="413"/>
      <c r="J25" s="414" t="s">
        <v>44</v>
      </c>
      <c r="K25" s="452"/>
      <c r="L25" s="415" t="s">
        <v>71</v>
      </c>
      <c r="M25" s="414" t="s">
        <v>44</v>
      </c>
      <c r="N25" s="416" t="s">
        <v>11</v>
      </c>
      <c r="O25" s="418" t="s">
        <v>409</v>
      </c>
      <c r="P25" s="419"/>
    </row>
    <row r="26" spans="2:16" ht="18" customHeight="1" x14ac:dyDescent="0.25">
      <c r="B26" s="562"/>
      <c r="C26" s="437"/>
      <c r="D26" s="23"/>
      <c r="E26" s="23"/>
      <c r="F26" s="24"/>
      <c r="G26" s="23"/>
      <c r="I26" s="24"/>
      <c r="J26" s="23"/>
      <c r="K26" s="500"/>
      <c r="L26" s="24"/>
      <c r="M26" s="23"/>
      <c r="N26" s="24"/>
      <c r="O26" s="512" t="s">
        <v>11</v>
      </c>
      <c r="P26" s="24"/>
    </row>
    <row r="27" spans="2:16" ht="169.5" customHeight="1" x14ac:dyDescent="0.25">
      <c r="B27" s="562"/>
      <c r="C27" s="437"/>
      <c r="D27" s="25" t="str">
        <f>INPUT!D6</f>
        <v>Jord</v>
      </c>
      <c r="E27" s="26" t="str">
        <f>IF(INPUT!E8="Skriv her","-",INPUT!E8)</f>
        <v>-</v>
      </c>
      <c r="F27" s="27">
        <f>IF(INPUT!F8="Indtast her","-",INPUT!F8*INPUT!G8)</f>
        <v>0</v>
      </c>
      <c r="G27" s="26" t="e" cm="1">
        <f t="array" ref="G27">_xlfn.IFS(AND(INPUT!$H$8=Argumenter!A70,INPUT!J8=Argumenter!B93,INPUT!I8=Argumenter!B499),Argumenter!B95,AND(INPUT!$H$8=Argumenter!A71,INPUT!J8=Argumenter!B93,INPUT!I8=Argumenter!B499),Argumenter!B96,AND(INPUT!$H$8=Argumenter!A72,INPUT!J8=Argumenter!B93,INPUT!I8=Argumenter!B499),Argumenter!B97,AND(INPUT!$H$8=Argumenter!A70,INPUT!J8=Argumenter!B69),Argumenter!B70,AND(INPUT!$H$8=Argumenter!A71,INPUT!J8=Argumenter!B69),Argumenter!B71,AND(INPUT!$H$8=Argumenter!A72,INPUT!J8=Argumenter!B69),Argumenter!B72,AND(INPUT!$H$8=Argumenter!A70,INPUT!J8=Argumenter!B80,INPUT!I8=Argumenter!B499),Argumenter!B82,AND(INPUT!$H$8=Argumenter!A71,INPUT!J8=Argumenter!B80,INPUT!I8=Argumenter!B499),Argumenter!B83,AND(INPUT!$H$8=Argumenter!A72,INPUT!J8=Argumenter!B80,INPUT!I8=Argumenter!B499),Argumenter!B84,AND(INPUT!$H$8=Argumenter!A70,INPUT!J8=Argumenter!B80,INPUT!I8=Argumenter!B500),Argumenter!B88,AND(INPUT!$H$8=Argumenter!A71,INPUT!J8=Argumenter!B80,INPUT!I8=Argumenter!B500),Argumenter!B89,AND(INPUT!$H$8=Argumenter!A72,INPUT!J8=Argumenter!B80,INPUT!I8=Argumenter!B500),Argumenter!B90,AND(INPUT!$H$8=Argumenter!A70,INPUT!J8=Argumenter!B93,INPUT!I8=Argumenter!B500),Argumenter!B101,AND(INPUT!$H$8=Argumenter!A71,INPUT!J8=Argumenter!B93,INPUT!I8=Argumenter!B500),Argumenter!B102,AND(INPUT!$H$8=Argumenter!A72,INPUT!J8=Argumenter!B93,INPUT!I8=Argumenter!B500),Argumenter!B103)</f>
        <v>#N/A</v>
      </c>
      <c r="H27" s="28" t="e" cm="1">
        <f t="array" ref="H27">(_xlfn.IFS(AND(Cirkuleringsgreb!E15=Argumenter!B499),Cirkuleringsgreb!F15,AND(Cirkuleringsgreb!E15=Argumenter!B500,Cirkuleringsgreb!E16=Argumenter!B499),Cirkuleringsgreb!F16,AND(Cirkuleringsgreb!E15=Argumenter!B500,Cirkuleringsgreb!E16=Argumenter!B500,Cirkuleringsgreb!E8=Argumenter!B499),Cirkuleringsgreb!F17))</f>
        <v>#N/A</v>
      </c>
      <c r="I27" s="29" t="e" cm="1">
        <f t="array" ref="I27">(_xlfn.IFS(AND($H$27=Cirkuleringsgreb!B15),Cirkuleringsgreb!D15,AND($H$27=Cirkuleringsgreb!B16),Cirkuleringsgreb!D16,AND($H$27=Cirkuleringsgreb!B17),Cirkuleringsgreb!D17))</f>
        <v>#N/A</v>
      </c>
      <c r="J27" s="26" t="e" cm="1">
        <f t="array" ref="J27">(_xlfn.IFS(AND($H$27=Cirkuleringsgreb!B15),Cirkuleringsgreb!H15,AND($H$27=Cirkuleringsgreb!B16),Cirkuleringsgreb!H16,AND($H$27=Cirkuleringsgreb!B17),Cirkuleringsgreb!H17))</f>
        <v>#N/A</v>
      </c>
      <c r="K27" s="11" t="e">
        <f>IF(OUTPUT!H27=Cirkuleringsgreb!F15,Cirkuleringsgreb!I15,IF(OUTPUT!H27=Cirkuleringsgreb!F16,Cirkuleringsgreb!I16,IF(OUTPUT!H27=Cirkuleringsgreb!F17,Cirkuleringsgreb!I17)))</f>
        <v>#N/A</v>
      </c>
      <c r="L27" s="30">
        <f>Materialeoutput!I24</f>
        <v>0</v>
      </c>
      <c r="M27" s="26" t="e" cm="1">
        <f t="array" ref="M27">(_xlfn.IFS(AND($H$27=Cirkuleringsgreb!B15),Cirkuleringsgreb!J15,AND($H$27=Cirkuleringsgreb!B16),Cirkuleringsgreb!J16,AND($H$27=Cirkuleringsgreb!B17),Cirkuleringsgreb!J17))</f>
        <v>#N/A</v>
      </c>
      <c r="N27" s="29" t="e" cm="1">
        <f t="array" ref="N27">(_xlfn.IFS(AND($H$27=Cirkuleringsgreb!B15),Cirkuleringsgreb!K15,AND($H$27=Cirkuleringsgreb!B16),Cirkuleringsgreb!K16,AND($H$27=Cirkuleringsgreb!B17),Cirkuleringsgreb!K17))</f>
        <v>#N/A</v>
      </c>
      <c r="O27" s="31" t="e" cm="1">
        <f t="array" ref="O27">(_xlfn.IFS(AND($H$27=Cirkuleringsgreb!B15),Økonomi!I32,AND($H$27=Cirkuleringsgreb!B16),Økonomi!I33,AND($H$27=Cirkuleringsgreb!B17),Økonomi!I34))</f>
        <v>#N/A</v>
      </c>
      <c r="P27" s="29" t="e" cm="1">
        <f t="array" ref="P27">(_xlfn.IFS(AND($H$27=Cirkuleringsgreb!B15),Økonomi!S32,AND($H$27=Cirkuleringsgreb!B16),Økonomi!S33,AND($H$27=Cirkuleringsgreb!B17),Økonomi!S34))</f>
        <v>#N/A</v>
      </c>
    </row>
    <row r="28" spans="2:16" ht="18" customHeight="1" x14ac:dyDescent="0.25">
      <c r="B28" s="562"/>
      <c r="C28" s="437"/>
      <c r="D28" s="32"/>
      <c r="E28" s="32"/>
      <c r="F28" s="33"/>
      <c r="G28" s="32"/>
      <c r="H28" s="34"/>
      <c r="I28" s="33"/>
      <c r="J28" s="32"/>
      <c r="K28" s="499"/>
      <c r="L28" s="33"/>
      <c r="M28" s="32"/>
      <c r="N28" s="33"/>
      <c r="O28" s="513" t="s">
        <v>5</v>
      </c>
      <c r="P28" s="33"/>
    </row>
    <row r="29" spans="2:16" ht="202.5" customHeight="1" x14ac:dyDescent="0.25">
      <c r="B29" s="562"/>
      <c r="C29" s="437"/>
      <c r="D29" s="25" t="str">
        <f>INPUT!D11</f>
        <v>Asfalt</v>
      </c>
      <c r="E29" s="26" t="str">
        <f>IF(INPUT!E13="Skriv her","-",INPUT!E13)</f>
        <v>-</v>
      </c>
      <c r="F29" s="27">
        <f>IF(INPUT!F13="Indtast her","-",INPUT!F13*INPUT!G13)</f>
        <v>0</v>
      </c>
      <c r="G29" s="26" t="e" cm="1">
        <f t="array" ref="G29">_xlfn.IFS(AND(INPUT!H13&lt;=Argumenter!C173),Argumenter!B108,AND(INPUT!H13&gt;=Argumenter!C173,INPUT!J13=Argumenter!B500),Argumenter!B109,AND(INPUT!H13&gt;=Argumenter!C173,INPUT!J13=Argumenter!B499),Argumenter!B111)</f>
        <v>#N/A</v>
      </c>
      <c r="H29" s="28" t="e" cm="1">
        <f t="array" ref="H29">(_xlfn.IFS(AND(Cirkuleringsgreb!O15=Argumenter!B499),Cirkuleringsgreb!P15,AND(Cirkuleringsgreb!O15=Argumenter!B500,Cirkuleringsgreb!O16=Argumenter!B499),Cirkuleringsgreb!P16,AND(Cirkuleringsgreb!O15=Argumenter!B500,Cirkuleringsgreb!O16=Argumenter!B500,Cirkuleringsgreb!O17=Argumenter!B499),Cirkuleringsgreb!P17))</f>
        <v>#N/A</v>
      </c>
      <c r="I29" s="29" t="e" cm="1">
        <f t="array" ref="I29">(_xlfn.IFS(AND($H$29=Cirkuleringsgreb!M15),Cirkuleringsgreb!N15,AND($H$29=Cirkuleringsgreb!M16),Cirkuleringsgreb!N16,AND($H$29=Cirkuleringsgreb!M17),Cirkuleringsgreb!N17))</f>
        <v>#N/A</v>
      </c>
      <c r="J29" s="26" t="e" cm="1">
        <f t="array" ref="J29">(_xlfn.IFS(AND($H$29=Cirkuleringsgreb!M15),Cirkuleringsgreb!R15,AND($H$29=Cirkuleringsgreb!M16),Cirkuleringsgreb!R16,AND($H$29=Cirkuleringsgreb!M17),Cirkuleringsgreb!R17))</f>
        <v>#N/A</v>
      </c>
      <c r="K29" s="11" t="e">
        <f>IF(OUTPUT!H29=Cirkuleringsgreb!P15,Cirkuleringsgreb!S15,IF(OUTPUT!H29=Cirkuleringsgreb!P16,Cirkuleringsgreb!S16,IF(OUTPUT!H29=Cirkuleringsgreb!P17,Cirkuleringsgreb!S17)))</f>
        <v>#N/A</v>
      </c>
      <c r="L29" s="30">
        <f>Materialeoutput!I26</f>
        <v>0</v>
      </c>
      <c r="M29" s="26" t="e" cm="1">
        <f t="array" ref="M29">(_xlfn.IFS(AND($H$29=Cirkuleringsgreb!M15),Cirkuleringsgreb!T15,AND($H$29=Cirkuleringsgreb!M16),Cirkuleringsgreb!T16,AND($H$29=Cirkuleringsgreb!M17),Cirkuleringsgreb!T17))</f>
        <v>#N/A</v>
      </c>
      <c r="N29" s="29" t="e" cm="1">
        <f t="array" ref="N29">(_xlfn.IFS(AND($H$29=Cirkuleringsgreb!M15),Cirkuleringsgreb!U15,AND($H$29=Cirkuleringsgreb!M16),Cirkuleringsgreb!U16,AND($H$29=Cirkuleringsgreb!M17),Cirkuleringsgreb!U17))</f>
        <v>#N/A</v>
      </c>
      <c r="O29" s="31" t="e" cm="1">
        <f t="array" ref="O29">(_xlfn.IFS(AND($H$29=Cirkuleringsgreb!M15),Økonomi!I40,AND($H$29=Cirkuleringsgreb!M16),Økonomi!I41,AND($H$29=Cirkuleringsgreb!M17),Økonomi!I42))</f>
        <v>#N/A</v>
      </c>
      <c r="P29" s="35" t="e" cm="1">
        <f t="array" ref="P29">(_xlfn.IFS(AND($H$29=Cirkuleringsgreb!M15),Økonomi!S40,AND($H$29=Cirkuleringsgreb!M16),Økonomi!S41,AND($H$29=Cirkuleringsgreb!M17),Økonomi!S42))</f>
        <v>#N/A</v>
      </c>
    </row>
    <row r="30" spans="2:16" ht="18" customHeight="1" x14ac:dyDescent="0.25">
      <c r="B30" s="562"/>
      <c r="C30" s="437"/>
      <c r="D30" s="32"/>
      <c r="E30" s="32"/>
      <c r="F30" s="33"/>
      <c r="G30" s="32"/>
      <c r="H30" s="34"/>
      <c r="I30" s="33"/>
      <c r="J30" s="32"/>
      <c r="K30" s="499"/>
      <c r="L30" s="33"/>
      <c r="M30" s="32"/>
      <c r="N30" s="33"/>
      <c r="O30" s="513" t="s">
        <v>5</v>
      </c>
      <c r="P30" s="33"/>
    </row>
    <row r="31" spans="2:16" ht="150" customHeight="1" x14ac:dyDescent="0.25">
      <c r="B31" s="562"/>
      <c r="C31" s="437"/>
      <c r="D31" s="25" t="str">
        <f>INPUT!D16</f>
        <v>Beton</v>
      </c>
      <c r="E31" s="26" t="str">
        <f>IF(INPUT!E18="Skriv her","-",INPUT!E18)</f>
        <v>-</v>
      </c>
      <c r="F31" s="27">
        <f>IF(INPUT!G18="Indtast her","-",INPUT!F18*INPUT!G18)</f>
        <v>0</v>
      </c>
      <c r="G31" s="26" t="b">
        <f>IF(INPUT!K18="Ja",Argumenter!B118,IF(AND(INPUT!H18="Belægning",INPUT!J18="Ja"),Argumenter!B119,IF(INPUT!I18="Ja",Argumenter!B120,IF(AND(INPUT!I18="Nej",INPUT!J18="Nej",INPUT!K18="Nej"),Argumenter!B121,IF(AND(INPUT!H18="Fundament",INPUT!I18="Nej",INPUT!J18="Ja",INPUT!K18="Nej"),Argumenter!B122)))))</f>
        <v>0</v>
      </c>
      <c r="H31" s="28" t="str" cm="1">
        <f t="array" ref="H31">(_xlfn.IFS(AND(Cirkuleringsgreb!Y15=Argumenter!B499),Cirkuleringsgreb!Z15,AND(Cirkuleringsgreb!Y15=Argumenter!B500,Cirkuleringsgreb!Y16=Argumenter!B499),Cirkuleringsgreb!Z16,AND(Cirkuleringsgreb!Y15=Argumenter!B500,Cirkuleringsgreb!Y16=Argumenter!B500,Cirkuleringsgreb!Y17=Argumenter!B499),Cirkuleringsgreb!Z17))</f>
        <v>Downcycling</v>
      </c>
      <c r="I31" s="29" t="str" cm="1">
        <f t="array" ref="I31">(_xlfn.IFS(AND($H$31=Cirkuleringsgreb!W15),Cirkuleringsgreb!X15,AND($H$31=Cirkuleringsgreb!W16),Cirkuleringsgreb!X16,AND($H$31=Cirkuleringsgreb!W17),Cirkuleringsgreb!X17))</f>
        <v xml:space="preserve">Betonelementer knuses og anvendes som vejfyld, stabilgrus eller lignende. </v>
      </c>
      <c r="J31" s="36" t="str" cm="1">
        <f t="array" ref="J31">(_xlfn.IFS(AND($H$31=Cirkuleringsgreb!W15),Cirkuleringsgreb!AB15,AND($H$31=Cirkuleringsgreb!W16),Cirkuleringsgreb!AB16,AND($H$31=Cirkuleringsgreb!W17),Cirkuleringsgreb!AB17))</f>
        <v>5-95</v>
      </c>
      <c r="K31" s="11" t="str">
        <f>IF(OUTPUT!H31=Cirkuleringsgreb!Z15,Cirkuleringsgreb!AC15,IF(OUTPUT!H31=Cirkuleringsgreb!Z16,Cirkuleringsgreb!AC16,IF(OUTPUT!H31=Cirkuleringsgreb!Z17,Cirkuleringsgreb!AC17)))</f>
        <v xml:space="preserve">Ved downcycling af beton måles CO2-besparelsen på reduceret energi ved selve udvinding af jomfrueligt materiale samt transporten af denne til anvendelsesstedet. Derfor vil besparelsen variere meget afhængigt af, hvor betonen downcycles </v>
      </c>
      <c r="L31" s="30">
        <f>Materialeoutput!I28</f>
        <v>0</v>
      </c>
      <c r="M31" s="36" cm="1">
        <f t="array" ref="M31">(_xlfn.IFS(AND($H$31=Cirkuleringsgreb!W15),Cirkuleringsgreb!AD15,AND($H$31=Cirkuleringsgreb!W16),Cirkuleringsgreb!AD16,AND($H$31=Cirkuleringsgreb!W17),Cirkuleringsgreb!AD17))</f>
        <v>100</v>
      </c>
      <c r="N31" s="37" cm="1">
        <f t="array" ref="N31">(_xlfn.IFS(AND($H$31=Cirkuleringsgreb!W15),Cirkuleringsgreb!AE15,AND($H$31=Cirkuleringsgreb!W16),Cirkuleringsgreb!AE16,AND($H$31=Cirkuleringsgreb!W17),Cirkuleringsgreb!AE17))</f>
        <v>0</v>
      </c>
      <c r="O31" s="31" t="e" cm="1">
        <f t="array" ref="O31">(_xlfn.IFS(AND($H$31=Cirkuleringsgreb!W15),Økonomi!I49,AND($H$31=Cirkuleringsgreb!W16),Økonomi!I50,AND($H$31=Cirkuleringsgreb!W17),Økonomi!I51))</f>
        <v>#N/A</v>
      </c>
      <c r="P31" s="35" t="e" cm="1">
        <f t="array" ref="P31">(_xlfn.IFS(AND($H$31=Cirkuleringsgreb!W15),Økonomi!S49,AND($H$31=Cirkuleringsgreb!W16),Økonomi!S50,AND($H$31=Cirkuleringsgreb!W17),Økonomi!S51))</f>
        <v>#N/A</v>
      </c>
    </row>
    <row r="32" spans="2:16" ht="17.25" customHeight="1" x14ac:dyDescent="0.25">
      <c r="B32" s="562"/>
      <c r="D32" s="38"/>
      <c r="E32" s="39"/>
      <c r="F32" s="454" t="s">
        <v>349</v>
      </c>
      <c r="G32" s="39"/>
      <c r="H32" s="40"/>
      <c r="I32" s="41"/>
      <c r="J32" s="42"/>
      <c r="K32" s="453"/>
      <c r="L32" s="41"/>
      <c r="M32" s="42"/>
      <c r="N32" s="41"/>
      <c r="O32" s="42"/>
      <c r="P32" s="41"/>
    </row>
    <row r="33" spans="2:15" ht="57.75" customHeight="1" x14ac:dyDescent="0.25">
      <c r="G33" s="501"/>
      <c r="H33" s="6" t="s">
        <v>350</v>
      </c>
    </row>
    <row r="34" spans="2:15" x14ac:dyDescent="0.25">
      <c r="I34" s="43"/>
      <c r="J34" s="43"/>
      <c r="K34" s="43"/>
      <c r="L34" s="43"/>
      <c r="M34" s="43"/>
      <c r="N34" s="43"/>
      <c r="O34" s="43"/>
    </row>
    <row r="37" spans="2:15" ht="54" customHeight="1" x14ac:dyDescent="0.25">
      <c r="B37" s="547"/>
      <c r="F37" s="50"/>
      <c r="G37" s="50"/>
      <c r="H37" s="50"/>
      <c r="J37" s="50"/>
      <c r="K37" s="50"/>
      <c r="L37" s="50"/>
    </row>
    <row r="38" spans="2:15" ht="27.6" x14ac:dyDescent="0.25">
      <c r="B38" s="547"/>
      <c r="F38" s="447"/>
      <c r="G38" s="243"/>
      <c r="H38" s="447"/>
      <c r="J38" s="447"/>
      <c r="K38" s="243"/>
      <c r="L38" s="447"/>
    </row>
    <row r="39" spans="2:15" ht="15" x14ac:dyDescent="0.25">
      <c r="B39" s="547"/>
      <c r="F39" s="50"/>
      <c r="G39" s="50"/>
      <c r="H39" s="50"/>
      <c r="J39" s="50"/>
      <c r="K39" s="50"/>
      <c r="L39" s="50"/>
    </row>
    <row r="40" spans="2:15" ht="16.8" x14ac:dyDescent="0.25">
      <c r="B40" s="547"/>
      <c r="G40" s="244"/>
      <c r="K40" s="244"/>
    </row>
    <row r="41" spans="2:15" x14ac:dyDescent="0.25">
      <c r="B41" s="547"/>
    </row>
    <row r="42" spans="2:15" ht="24" x14ac:dyDescent="0.35">
      <c r="B42" s="547"/>
      <c r="G42" s="448"/>
      <c r="K42" s="245"/>
    </row>
    <row r="43" spans="2:15" x14ac:dyDescent="0.25">
      <c r="B43" s="547"/>
    </row>
    <row r="44" spans="2:15" x14ac:dyDescent="0.25">
      <c r="B44" s="547"/>
    </row>
    <row r="45" spans="2:15" ht="15" x14ac:dyDescent="0.25">
      <c r="B45" s="547"/>
      <c r="F45" s="50"/>
      <c r="G45" s="7"/>
      <c r="H45" s="50"/>
      <c r="J45" s="50"/>
      <c r="K45" s="7"/>
      <c r="L45" s="50"/>
    </row>
    <row r="46" spans="2:15" ht="15" x14ac:dyDescent="0.25">
      <c r="B46" s="547"/>
      <c r="F46" s="50"/>
      <c r="H46" s="50"/>
      <c r="J46" s="50"/>
      <c r="L46" s="50"/>
    </row>
    <row r="47" spans="2:15" ht="15" x14ac:dyDescent="0.25">
      <c r="B47" s="547"/>
      <c r="F47" s="50"/>
      <c r="G47" s="50"/>
      <c r="H47" s="50"/>
      <c r="J47" s="50"/>
      <c r="K47" s="50"/>
      <c r="L47" s="50"/>
    </row>
    <row r="48" spans="2:15" ht="15" x14ac:dyDescent="0.25">
      <c r="B48" s="547"/>
      <c r="F48" s="50"/>
      <c r="G48" s="50"/>
      <c r="H48" s="50"/>
      <c r="J48" s="50"/>
      <c r="K48" s="50"/>
      <c r="L48" s="50"/>
    </row>
    <row r="49" spans="2:12" ht="15" x14ac:dyDescent="0.25">
      <c r="B49" s="547"/>
      <c r="F49" s="50"/>
      <c r="G49" s="50"/>
      <c r="H49" s="50"/>
      <c r="J49" s="50"/>
      <c r="K49" s="50"/>
      <c r="L49" s="50"/>
    </row>
    <row r="50" spans="2:12" ht="15" x14ac:dyDescent="0.25">
      <c r="B50" s="547"/>
      <c r="F50" s="50"/>
      <c r="G50" s="50"/>
      <c r="H50" s="50"/>
      <c r="J50" s="50"/>
      <c r="K50" s="50"/>
      <c r="L50" s="50"/>
    </row>
    <row r="51" spans="2:12" ht="23.4" x14ac:dyDescent="0.4">
      <c r="B51" s="547"/>
      <c r="F51" s="50"/>
      <c r="G51" s="55"/>
      <c r="H51" s="50"/>
      <c r="J51" s="50"/>
      <c r="K51" s="55"/>
      <c r="L51" s="50"/>
    </row>
    <row r="52" spans="2:12" ht="15" x14ac:dyDescent="0.25">
      <c r="B52" s="547"/>
      <c r="F52" s="50"/>
      <c r="G52" s="54"/>
      <c r="H52" s="50"/>
      <c r="J52" s="50"/>
      <c r="K52" s="54"/>
      <c r="L52" s="50"/>
    </row>
    <row r="53" spans="2:12" ht="15" x14ac:dyDescent="0.25">
      <c r="B53" s="547"/>
      <c r="F53" s="50"/>
      <c r="G53" s="50"/>
      <c r="H53" s="50"/>
      <c r="J53" s="50"/>
      <c r="K53" s="50"/>
      <c r="L53" s="50"/>
    </row>
    <row r="54" spans="2:12" ht="15" x14ac:dyDescent="0.25">
      <c r="B54" s="547"/>
      <c r="F54" s="50"/>
      <c r="G54" s="50"/>
      <c r="H54" s="50"/>
      <c r="J54" s="50"/>
      <c r="K54" s="50"/>
      <c r="L54" s="50"/>
    </row>
    <row r="55" spans="2:12" ht="17.25" customHeight="1" x14ac:dyDescent="0.25">
      <c r="B55" s="547"/>
      <c r="F55" s="50"/>
      <c r="G55" s="54"/>
      <c r="H55" s="50"/>
      <c r="J55" s="50"/>
      <c r="K55" s="54"/>
      <c r="L55" s="50"/>
    </row>
    <row r="56" spans="2:12" ht="15" x14ac:dyDescent="0.25">
      <c r="B56" s="547"/>
      <c r="F56" s="50"/>
      <c r="G56" s="54"/>
      <c r="H56" s="50"/>
      <c r="J56" s="50"/>
      <c r="K56" s="54"/>
      <c r="L56" s="50"/>
    </row>
    <row r="57" spans="2:12" ht="15" x14ac:dyDescent="0.25">
      <c r="B57" s="547"/>
      <c r="F57" s="50"/>
      <c r="G57" s="50"/>
      <c r="H57" s="50"/>
      <c r="J57" s="50"/>
      <c r="K57" s="50"/>
      <c r="L57" s="50"/>
    </row>
    <row r="58" spans="2:12" ht="15" x14ac:dyDescent="0.25">
      <c r="B58" s="547"/>
      <c r="F58" s="50"/>
      <c r="G58" s="50"/>
      <c r="H58" s="50"/>
      <c r="J58" s="50"/>
      <c r="K58" s="50"/>
      <c r="L58" s="50"/>
    </row>
    <row r="59" spans="2:12" ht="15" x14ac:dyDescent="0.25">
      <c r="B59" s="547"/>
      <c r="F59" s="50"/>
      <c r="G59" s="50"/>
      <c r="H59" s="50"/>
      <c r="J59" s="50"/>
      <c r="K59" s="50"/>
      <c r="L59" s="50"/>
    </row>
    <row r="60" spans="2:12" ht="15" x14ac:dyDescent="0.25">
      <c r="B60" s="547"/>
      <c r="F60" s="7"/>
      <c r="G60" s="7"/>
      <c r="H60" s="7"/>
      <c r="J60" s="7"/>
      <c r="K60" s="7"/>
      <c r="L60" s="7"/>
    </row>
    <row r="61" spans="2:12" ht="15" x14ac:dyDescent="0.25">
      <c r="B61" s="547"/>
      <c r="F61" s="50"/>
      <c r="G61" s="50"/>
      <c r="H61" s="50"/>
      <c r="J61" s="50"/>
      <c r="K61" s="50"/>
      <c r="L61" s="50"/>
    </row>
    <row r="62" spans="2:12" x14ac:dyDescent="0.25">
      <c r="B62" s="547"/>
    </row>
    <row r="63" spans="2:12" ht="15" x14ac:dyDescent="0.25">
      <c r="B63" s="547"/>
      <c r="F63" s="50"/>
      <c r="G63" s="50"/>
      <c r="H63" s="50"/>
      <c r="J63" s="50"/>
      <c r="K63" s="50"/>
      <c r="L63" s="50"/>
    </row>
    <row r="64" spans="2:12" ht="15" x14ac:dyDescent="0.25">
      <c r="B64" s="547"/>
      <c r="F64" s="50"/>
      <c r="G64" s="50"/>
      <c r="H64" s="50"/>
      <c r="J64" s="50"/>
      <c r="K64" s="50"/>
      <c r="L64" s="50"/>
    </row>
    <row r="65" spans="2:12" ht="15" x14ac:dyDescent="0.25">
      <c r="B65" s="547"/>
      <c r="F65" s="50"/>
      <c r="G65" s="50"/>
      <c r="H65" s="50"/>
      <c r="J65" s="50"/>
      <c r="K65" s="50"/>
      <c r="L65" s="50"/>
    </row>
    <row r="66" spans="2:12" ht="15" x14ac:dyDescent="0.25">
      <c r="B66" s="547"/>
      <c r="F66" s="58"/>
      <c r="G66" s="58"/>
      <c r="H66" s="58"/>
      <c r="J66" s="58"/>
      <c r="K66" s="58"/>
      <c r="L66" s="58"/>
    </row>
    <row r="67" spans="2:12" ht="15" x14ac:dyDescent="0.25">
      <c r="B67" s="547"/>
      <c r="F67" s="54"/>
      <c r="G67" s="54"/>
      <c r="H67" s="54"/>
      <c r="J67" s="54"/>
      <c r="K67" s="54"/>
      <c r="L67" s="54"/>
    </row>
    <row r="68" spans="2:12" ht="67.5" customHeight="1" x14ac:dyDescent="0.25">
      <c r="B68" s="547"/>
    </row>
  </sheetData>
  <sheetProtection sheet="1" objects="1" scenarios="1"/>
  <mergeCells count="20">
    <mergeCell ref="F10:G10"/>
    <mergeCell ref="I10:K10"/>
    <mergeCell ref="D2:E2"/>
    <mergeCell ref="D3:I3"/>
    <mergeCell ref="B5:B18"/>
    <mergeCell ref="F5:G5"/>
    <mergeCell ref="H5:K5"/>
    <mergeCell ref="D6:D8"/>
    <mergeCell ref="J6:K6"/>
    <mergeCell ref="J7:K7"/>
    <mergeCell ref="J8:K8"/>
    <mergeCell ref="B24:B32"/>
    <mergeCell ref="D16:D18"/>
    <mergeCell ref="B37:B68"/>
    <mergeCell ref="D11:D13"/>
    <mergeCell ref="J11:K11"/>
    <mergeCell ref="J12:K12"/>
    <mergeCell ref="J13:K13"/>
    <mergeCell ref="F15:G15"/>
    <mergeCell ref="I15:K15"/>
  </mergeCells>
  <conditionalFormatting sqref="H31">
    <cfRule type="cellIs" dxfId="44" priority="24" operator="equal">
      <formula>#REF!</formula>
    </cfRule>
    <cfRule type="cellIs" dxfId="43" priority="25" operator="equal">
      <formula>#REF!</formula>
    </cfRule>
    <cfRule type="cellIs" dxfId="42" priority="26" operator="equal">
      <formula>#REF!</formula>
    </cfRule>
  </conditionalFormatting>
  <conditionalFormatting sqref="H29:J29 M29:N29">
    <cfRule type="cellIs" dxfId="38" priority="21" operator="equal">
      <formula>#REF!</formula>
    </cfRule>
    <cfRule type="cellIs" dxfId="36" priority="23" operator="equal">
      <formula>#REF!</formula>
    </cfRule>
  </conditionalFormatting>
  <dataValidations count="4">
    <dataValidation type="list" allowBlank="1" showInputMessage="1" showErrorMessage="1" sqref="I9 J8" xr:uid="{D0C949E9-1850-456D-9B34-350D821569E3}">
      <formula1>"Ren jord, Forurenet Jord,Ingen prøvetagning"</formula1>
    </dataValidation>
    <dataValidation type="list" allowBlank="1" showInputMessage="1" showErrorMessage="1" sqref="G9 H8" xr:uid="{3461AE86-0598-4079-A7D8-3775C9A4948F}">
      <formula1>"Nej, V1/V2, Områdeklassificeret"</formula1>
    </dataValidation>
    <dataValidation type="list" allowBlank="1" showInputMessage="1" showErrorMessage="1" sqref="I8 I18:K18 I13:J13" xr:uid="{EC408E24-68EA-467D-B3CC-3ED3E3A547B3}">
      <formula1>"Ja, Nej"</formula1>
    </dataValidation>
    <dataValidation type="list" allowBlank="1" showInputMessage="1" showErrorMessage="1" sqref="H18" xr:uid="{2B566B49-3AF6-4B37-8E83-EFC56F1A3D02}">
      <formula1>"Belægning,Fundament"</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 operator="equal" id="{18F6672F-6958-47E5-81D1-108856417911}">
            <xm:f>Argumenter!$B$108</xm:f>
            <x14:dxf>
              <font>
                <color rgb="FFC00000"/>
              </font>
              <fill>
                <patternFill>
                  <bgColor rgb="FFFFCCCC"/>
                </patternFill>
              </fill>
            </x14:dxf>
          </x14:cfRule>
          <xm:sqref>G29</xm:sqref>
        </x14:conditionalFormatting>
        <x14:conditionalFormatting xmlns:xm="http://schemas.microsoft.com/office/excel/2006/main">
          <x14:cfRule type="cellIs" priority="9" operator="equal" id="{3B5BA7E8-223C-4878-936B-584424C84F7E}">
            <xm:f>Cirkuleringsgreb!$B$16</xm:f>
            <x14:dxf>
              <font>
                <color rgb="FF9C5700"/>
              </font>
              <fill>
                <patternFill>
                  <bgColor rgb="FFFFEB9C"/>
                </patternFill>
              </fill>
            </x14:dxf>
          </x14:cfRule>
          <x14:cfRule type="cellIs" priority="10" operator="equal" id="{ACB607BF-C929-4BB0-9AF2-F713A90B1CAC}">
            <xm:f>Cirkuleringsgreb!$B$15</xm:f>
            <x14:dxf>
              <font>
                <color rgb="FF006100"/>
              </font>
              <fill>
                <patternFill>
                  <bgColor rgb="FFC6EFCE"/>
                </patternFill>
              </fill>
            </x14:dxf>
          </x14:cfRule>
          <xm:sqref>H27</xm:sqref>
        </x14:conditionalFormatting>
        <x14:conditionalFormatting xmlns:xm="http://schemas.microsoft.com/office/excel/2006/main">
          <x14:cfRule type="cellIs" priority="8" operator="equal" id="{2FDBB6A8-96A0-4216-AC85-EC59EA3789FB}">
            <xm:f>Cirkuleringsgreb!$M$17</xm:f>
            <x14:dxf>
              <font>
                <color theme="8" tint="-0.24994659260841701"/>
              </font>
              <fill>
                <patternFill>
                  <bgColor theme="8" tint="0.79998168889431442"/>
                </patternFill>
              </fill>
            </x14:dxf>
          </x14:cfRule>
          <x14:cfRule type="cellIs" priority="11" operator="equal" id="{9252C371-32EC-4AC0-A14F-699C23576371}">
            <xm:f>Cirkuleringsgreb!$M$16</xm:f>
            <x14:dxf>
              <font>
                <color rgb="FF9C5700"/>
              </font>
              <fill>
                <patternFill>
                  <bgColor rgb="FFFFEB9C"/>
                </patternFill>
              </fill>
            </x14:dxf>
          </x14:cfRule>
          <xm:sqref>H29</xm:sqref>
        </x14:conditionalFormatting>
        <x14:conditionalFormatting xmlns:xm="http://schemas.microsoft.com/office/excel/2006/main">
          <x14:cfRule type="cellIs" priority="18" operator="equal" id="{144C278C-3D6C-4443-99FC-4C5AFED1F583}">
            <xm:f>Cirkuleringsgreb!$C$8</xm:f>
            <x14:dxf>
              <font>
                <color theme="8" tint="-0.24994659260841701"/>
              </font>
              <fill>
                <patternFill>
                  <bgColor theme="8" tint="0.79998168889431442"/>
                </patternFill>
              </fill>
            </x14:dxf>
          </x14:cfRule>
          <xm:sqref>H31 H27:K27 M27:N27</xm:sqref>
        </x14:conditionalFormatting>
        <x14:conditionalFormatting xmlns:xm="http://schemas.microsoft.com/office/excel/2006/main">
          <x14:cfRule type="cellIs" priority="12" operator="equal" id="{9CFAFE25-5533-4DE9-BF9C-675786056BE6}">
            <xm:f>Cirkuleringsgreb!$C$8</xm:f>
            <x14:dxf>
              <font>
                <color theme="8" tint="-0.24994659260841701"/>
              </font>
              <fill>
                <patternFill>
                  <bgColor theme="8" tint="0.79998168889431442"/>
                </patternFill>
              </fill>
            </x14:dxf>
          </x14:cfRule>
          <x14:cfRule type="cellIs" priority="13" operator="equal" id="{D0680F06-C046-4CC7-B6DD-39B24FDCC434}">
            <xm:f>Cirkuleringsgreb!$C$6</xm:f>
            <x14:dxf>
              <font>
                <color rgb="FF006100"/>
              </font>
              <fill>
                <patternFill>
                  <bgColor rgb="FFC6EFCE"/>
                </patternFill>
              </fill>
            </x14:dxf>
          </x14:cfRule>
          <x14:cfRule type="cellIs" priority="14" operator="equal" id="{6AFCCC80-38CE-476F-92DD-7600BCB89415}">
            <xm:f>Cirkuleringsgreb!$C$7</xm:f>
            <x14:dxf>
              <font>
                <color rgb="FF9C5700"/>
              </font>
              <fill>
                <patternFill>
                  <bgColor rgb="FFFFEB9C"/>
                </patternFill>
              </fill>
            </x14:dxf>
          </x14:cfRule>
          <xm:sqref>H31</xm:sqref>
        </x14:conditionalFormatting>
        <x14:conditionalFormatting xmlns:xm="http://schemas.microsoft.com/office/excel/2006/main">
          <x14:cfRule type="cellIs" priority="15" operator="equal" id="{B3582D3F-C625-40AE-A742-1ADF056B3417}">
            <xm:f>Cirkuleringsgreb!$C$6</xm:f>
            <x14:dxf>
              <font>
                <color rgb="FF006100"/>
              </font>
              <fill>
                <patternFill>
                  <bgColor rgb="FFC6EFCE"/>
                </patternFill>
              </fill>
            </x14:dxf>
          </x14:cfRule>
          <x14:cfRule type="cellIs" priority="16" operator="equal" id="{29AADD91-2FBD-4E5B-9674-045227435E9C}">
            <xm:f>Cirkuleringsgreb!$C$7</xm:f>
            <x14:dxf>
              <font>
                <color rgb="FF9C5700"/>
              </font>
              <fill>
                <patternFill>
                  <bgColor rgb="FFFFEB9C"/>
                </patternFill>
              </fill>
            </x14:dxf>
          </x14:cfRule>
          <x14:cfRule type="cellIs" priority="17" operator="equal" id="{CFE51689-013D-4C3D-A4A1-6EDA293C64F1}">
            <xm:f>Cirkuleringsgreb!$C$8</xm:f>
            <x14:dxf>
              <font>
                <color theme="8" tint="-0.24994659260841701"/>
              </font>
              <fill>
                <patternFill>
                  <bgColor theme="8" tint="0.79998168889431442"/>
                </patternFill>
              </fill>
            </x14:dxf>
          </x14:cfRule>
          <x14:cfRule type="cellIs" priority="22" operator="equal" id="{2A9FE726-5189-4EF7-848A-8BF4C1068138}">
            <xm:f>Cirkuleringsgreb!$P$15</xm:f>
            <x14:dxf>
              <font>
                <color rgb="FF006100"/>
              </font>
              <fill>
                <patternFill>
                  <bgColor rgb="FFC6EFCE"/>
                </patternFill>
              </fill>
            </x14:dxf>
          </x14:cfRule>
          <xm:sqref>H29:J29 M29:N29</xm:sqref>
        </x14:conditionalFormatting>
        <x14:conditionalFormatting xmlns:xm="http://schemas.microsoft.com/office/excel/2006/main">
          <x14:cfRule type="cellIs" priority="19" operator="equal" id="{51959C1D-5BF3-4FCC-B1E8-636756AFBC9C}">
            <xm:f>Cirkuleringsgreb!$C$7</xm:f>
            <x14:dxf>
              <font>
                <color rgb="FF9C5700"/>
              </font>
              <fill>
                <patternFill>
                  <bgColor rgb="FFFFEB9C"/>
                </patternFill>
              </fill>
            </x14:dxf>
          </x14:cfRule>
          <x14:cfRule type="cellIs" priority="20" operator="equal" id="{DBB66B83-B836-40F2-81E0-1450FF698105}">
            <xm:f>Cirkuleringsgreb!$C$6</xm:f>
            <x14:dxf>
              <font>
                <color rgb="FF006100"/>
              </font>
              <fill>
                <patternFill>
                  <bgColor rgb="FFC6EFCE"/>
                </patternFill>
              </fill>
            </x14:dxf>
          </x14:cfRule>
          <xm:sqref>H27:K27 M27:N27 H31</xm:sqref>
        </x14:conditionalFormatting>
        <x14:conditionalFormatting xmlns:xm="http://schemas.microsoft.com/office/excel/2006/main">
          <x14:cfRule type="cellIs" priority="5" operator="equal" id="{CECBC34D-654E-4E1D-A447-0C04FA9993E1}">
            <xm:f>Cirkuleringsgreb!$C$8</xm:f>
            <x14:dxf>
              <font>
                <color theme="8" tint="-0.24994659260841701"/>
              </font>
              <fill>
                <patternFill>
                  <bgColor theme="8" tint="0.79998168889431442"/>
                </patternFill>
              </fill>
            </x14:dxf>
          </x14:cfRule>
          <x14:cfRule type="cellIs" priority="6" operator="equal" id="{61FDA728-DB12-41B0-A3A3-098DD4DE50BF}">
            <xm:f>Cirkuleringsgreb!$C$7</xm:f>
            <x14:dxf>
              <font>
                <color rgb="FF9C5700"/>
              </font>
              <fill>
                <patternFill>
                  <bgColor rgb="FFFFEB9C"/>
                </patternFill>
              </fill>
            </x14:dxf>
          </x14:cfRule>
          <x14:cfRule type="cellIs" priority="7" operator="equal" id="{2C670F60-A821-480D-A5C8-B2AB14097DE2}">
            <xm:f>Cirkuleringsgreb!$C$6</xm:f>
            <x14:dxf>
              <font>
                <color rgb="FF006100"/>
              </font>
              <fill>
                <patternFill>
                  <bgColor rgb="FFC6EFCE"/>
                </patternFill>
              </fill>
            </x14:dxf>
          </x14:cfRule>
          <xm:sqref>K29</xm:sqref>
        </x14:conditionalFormatting>
        <x14:conditionalFormatting xmlns:xm="http://schemas.microsoft.com/office/excel/2006/main">
          <x14:cfRule type="cellIs" priority="2" operator="equal" id="{1E9CCF0F-443F-4B16-9F89-DDA497B94D76}">
            <xm:f>Cirkuleringsgreb!$C$8</xm:f>
            <x14:dxf>
              <font>
                <color theme="8" tint="-0.24994659260841701"/>
              </font>
              <fill>
                <patternFill>
                  <bgColor theme="8" tint="0.79998168889431442"/>
                </patternFill>
              </fill>
            </x14:dxf>
          </x14:cfRule>
          <x14:cfRule type="cellIs" priority="3" operator="equal" id="{467436E8-E1EF-41DC-A049-D2326206787E}">
            <xm:f>Cirkuleringsgreb!$C$7</xm:f>
            <x14:dxf>
              <font>
                <color rgb="FF9C5700"/>
              </font>
              <fill>
                <patternFill>
                  <bgColor rgb="FFFFEB9C"/>
                </patternFill>
              </fill>
            </x14:dxf>
          </x14:cfRule>
          <x14:cfRule type="cellIs" priority="4" operator="equal" id="{07102B02-5EBD-4730-84ED-B1E3D9F38B4C}">
            <xm:f>Cirkuleringsgreb!$C$6</xm:f>
            <x14:dxf>
              <font>
                <color rgb="FF006100"/>
              </font>
              <fill>
                <patternFill>
                  <bgColor rgb="FFC6EFCE"/>
                </patternFill>
              </fill>
            </x14:dxf>
          </x14:cfRule>
          <xm:sqref>K31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F85EF-4239-4333-A07B-673747460ECE}">
  <sheetPr>
    <tabColor rgb="FFDDEBD2"/>
  </sheetPr>
  <dimension ref="A1:V35"/>
  <sheetViews>
    <sheetView zoomScale="55" zoomScaleNormal="55" workbookViewId="0">
      <selection activeCell="S50" sqref="S50"/>
    </sheetView>
  </sheetViews>
  <sheetFormatPr defaultColWidth="8.6640625" defaultRowHeight="14.4" x14ac:dyDescent="0.3"/>
  <cols>
    <col min="1" max="5" width="8.6640625" style="449"/>
    <col min="6" max="6" width="26.33203125" style="449" customWidth="1"/>
    <col min="7" max="7" width="26" style="449" customWidth="1"/>
    <col min="8" max="8" width="26.6640625" style="449" customWidth="1"/>
    <col min="9" max="9" width="8.6640625" style="449" customWidth="1"/>
    <col min="10" max="11" width="26.109375" style="449" customWidth="1"/>
    <col min="12" max="12" width="25.88671875" style="449" customWidth="1"/>
    <col min="13" max="13" width="8.6640625" style="449"/>
    <col min="14" max="14" width="27" style="449" customWidth="1"/>
    <col min="15" max="15" width="23.6640625" style="449" customWidth="1"/>
    <col min="16" max="16" width="27.6640625" style="449" customWidth="1"/>
    <col min="17" max="17" width="23.5546875" style="449" customWidth="1"/>
    <col min="18" max="18" width="9.44140625" style="449" customWidth="1"/>
    <col min="19" max="19" width="20.109375" style="449" customWidth="1"/>
    <col min="20" max="20" width="3.6640625" style="449" customWidth="1"/>
    <col min="21" max="16384" width="8.6640625" style="449"/>
  </cols>
  <sheetData>
    <row r="1" spans="1:22" ht="15.9" customHeight="1" x14ac:dyDescent="0.3"/>
    <row r="2" spans="1:22" ht="15" thickBot="1" x14ac:dyDescent="0.35"/>
    <row r="3" spans="1:22" ht="13.5" customHeight="1" x14ac:dyDescent="0.3">
      <c r="A3" s="6"/>
      <c r="B3" s="569" t="s">
        <v>303</v>
      </c>
      <c r="C3" s="6"/>
      <c r="D3" s="6"/>
      <c r="E3" s="6"/>
      <c r="F3" s="44"/>
      <c r="G3" s="45"/>
      <c r="H3" s="46"/>
      <c r="I3" s="6"/>
      <c r="J3" s="44"/>
      <c r="K3" s="45"/>
      <c r="L3" s="46"/>
      <c r="N3" s="523"/>
      <c r="O3" s="524"/>
      <c r="P3" s="525"/>
    </row>
    <row r="4" spans="1:22" ht="27.6" x14ac:dyDescent="0.3">
      <c r="A4" s="6"/>
      <c r="B4" s="569"/>
      <c r="C4" s="6"/>
      <c r="D4" s="6"/>
      <c r="E4" s="6"/>
      <c r="F4" s="47"/>
      <c r="G4" s="243" t="s">
        <v>78</v>
      </c>
      <c r="H4" s="48"/>
      <c r="I4" s="6"/>
      <c r="J4" s="47"/>
      <c r="K4" s="243" t="s">
        <v>110</v>
      </c>
      <c r="L4" s="48"/>
      <c r="N4" s="526"/>
      <c r="O4" s="243" t="s">
        <v>446</v>
      </c>
      <c r="P4" s="527"/>
    </row>
    <row r="5" spans="1:22" ht="15.6" x14ac:dyDescent="0.3">
      <c r="A5" s="6"/>
      <c r="B5" s="569"/>
      <c r="C5" s="6"/>
      <c r="D5" s="6"/>
      <c r="E5" s="6"/>
      <c r="F5" s="49"/>
      <c r="G5" s="50"/>
      <c r="H5" s="51"/>
      <c r="I5" s="6"/>
      <c r="J5" s="49"/>
      <c r="K5" s="50"/>
      <c r="L5" s="51"/>
      <c r="N5" s="526"/>
      <c r="P5" s="527"/>
    </row>
    <row r="6" spans="1:22" ht="40.5" customHeight="1" x14ac:dyDescent="0.3">
      <c r="A6" s="6"/>
      <c r="B6" s="569"/>
      <c r="C6" s="6"/>
      <c r="D6" s="6"/>
      <c r="E6" s="6"/>
      <c r="F6" s="52"/>
      <c r="G6" s="244" t="s">
        <v>301</v>
      </c>
      <c r="H6" s="53"/>
      <c r="I6" s="6"/>
      <c r="J6" s="52"/>
      <c r="K6" s="244" t="s">
        <v>302</v>
      </c>
      <c r="L6" s="53"/>
      <c r="N6" s="570" t="s">
        <v>447</v>
      </c>
      <c r="O6" s="571"/>
      <c r="P6" s="572"/>
    </row>
    <row r="7" spans="1:22" ht="46.5" customHeight="1" x14ac:dyDescent="0.3">
      <c r="A7" s="6"/>
      <c r="B7" s="569"/>
      <c r="C7" s="6"/>
      <c r="D7" s="6"/>
      <c r="E7" s="6"/>
      <c r="F7" s="52"/>
      <c r="G7" s="6"/>
      <c r="H7" s="53"/>
      <c r="I7" s="6"/>
      <c r="J7" s="52"/>
      <c r="K7" s="6"/>
      <c r="L7" s="53"/>
      <c r="N7" s="526"/>
      <c r="P7" s="527"/>
      <c r="V7" s="532"/>
    </row>
    <row r="8" spans="1:22" ht="34.200000000000003" x14ac:dyDescent="0.35">
      <c r="A8" s="6"/>
      <c r="B8" s="569"/>
      <c r="C8" s="6"/>
      <c r="D8" s="6"/>
      <c r="E8" s="6"/>
      <c r="F8" s="52"/>
      <c r="G8" s="448">
        <f>OUTPUT!L27+OUTPUT!L29+OUTPUT!L31</f>
        <v>0</v>
      </c>
      <c r="H8" s="53"/>
      <c r="I8" s="6"/>
      <c r="J8" s="52"/>
      <c r="K8" s="245">
        <f>(Materialeoutput!H24+Materialeoutput!H26+Materialeoutput!H28)*1000</f>
        <v>0</v>
      </c>
      <c r="L8" s="53"/>
      <c r="N8" s="526"/>
      <c r="P8" s="527"/>
      <c r="V8" s="532"/>
    </row>
    <row r="9" spans="1:22" ht="14.25" customHeight="1" x14ac:dyDescent="0.3">
      <c r="A9" s="6"/>
      <c r="B9" s="569"/>
      <c r="C9" s="6"/>
      <c r="D9" s="6"/>
      <c r="E9" s="6"/>
      <c r="F9" s="52"/>
      <c r="G9" s="6"/>
      <c r="H9" s="53"/>
      <c r="I9" s="6"/>
      <c r="J9" s="52"/>
      <c r="K9" s="6"/>
      <c r="L9" s="53"/>
      <c r="N9" s="526"/>
      <c r="O9" s="531" t="s">
        <v>448</v>
      </c>
      <c r="P9" s="527"/>
      <c r="V9" s="532"/>
    </row>
    <row r="10" spans="1:22" ht="39.75" customHeight="1" x14ac:dyDescent="0.3">
      <c r="A10" s="6"/>
      <c r="B10" s="569"/>
      <c r="C10" s="6"/>
      <c r="D10" s="6"/>
      <c r="E10" s="6"/>
      <c r="F10" s="52"/>
      <c r="G10" s="6"/>
      <c r="H10" s="53"/>
      <c r="I10" s="6"/>
      <c r="J10" s="52"/>
      <c r="K10" s="6"/>
      <c r="L10" s="53"/>
      <c r="N10" s="526"/>
      <c r="P10" s="527"/>
    </row>
    <row r="11" spans="1:22" ht="34.200000000000003" x14ac:dyDescent="0.5">
      <c r="A11" s="6"/>
      <c r="B11" s="569"/>
      <c r="C11" s="6"/>
      <c r="D11" s="6"/>
      <c r="E11" s="6"/>
      <c r="F11" s="49"/>
      <c r="G11" s="7" t="s">
        <v>84</v>
      </c>
      <c r="H11" s="51"/>
      <c r="I11" s="6"/>
      <c r="J11" s="49"/>
      <c r="K11" s="7" t="s">
        <v>84</v>
      </c>
      <c r="L11" s="51"/>
      <c r="N11" s="526"/>
      <c r="O11" s="533" t="s">
        <v>444</v>
      </c>
      <c r="P11" s="539">
        <f>Materialeoutput!H24/('Reference Hus'!E29/1000)</f>
        <v>0</v>
      </c>
    </row>
    <row r="12" spans="1:22" ht="15.6" x14ac:dyDescent="0.3">
      <c r="A12" s="6"/>
      <c r="B12" s="569"/>
      <c r="C12" s="6"/>
      <c r="D12" s="6"/>
      <c r="E12" s="6"/>
      <c r="F12" s="49"/>
      <c r="G12" s="6"/>
      <c r="H12" s="51"/>
      <c r="I12" s="6"/>
      <c r="J12" s="49"/>
      <c r="K12" s="6"/>
      <c r="L12" s="51"/>
      <c r="N12" s="526"/>
      <c r="P12" s="527"/>
    </row>
    <row r="13" spans="1:22" ht="28.5" customHeight="1" x14ac:dyDescent="0.3">
      <c r="A13" s="6"/>
      <c r="B13" s="569"/>
      <c r="C13" s="6"/>
      <c r="D13" s="6"/>
      <c r="E13" s="6"/>
      <c r="F13" s="49"/>
      <c r="G13" s="50"/>
      <c r="H13" s="51"/>
      <c r="I13" s="6"/>
      <c r="J13" s="49"/>
      <c r="K13" s="50"/>
      <c r="L13" s="51"/>
      <c r="N13" s="526"/>
      <c r="O13" s="531" t="s">
        <v>445</v>
      </c>
      <c r="P13" s="527"/>
    </row>
    <row r="14" spans="1:22" ht="15.6" x14ac:dyDescent="0.3">
      <c r="A14" s="6"/>
      <c r="B14" s="569"/>
      <c r="C14" s="6"/>
      <c r="D14" s="6"/>
      <c r="E14" s="6"/>
      <c r="F14" s="49"/>
      <c r="G14" s="50"/>
      <c r="H14" s="51"/>
      <c r="I14" s="6"/>
      <c r="J14" s="49"/>
      <c r="K14" s="50"/>
      <c r="L14" s="51"/>
      <c r="N14" s="526"/>
      <c r="P14" s="527"/>
    </row>
    <row r="15" spans="1:22" ht="33.75" customHeight="1" x14ac:dyDescent="0.3">
      <c r="A15" s="6"/>
      <c r="B15" s="569"/>
      <c r="C15" s="6"/>
      <c r="D15" s="6"/>
      <c r="E15" s="6"/>
      <c r="F15" s="49"/>
      <c r="G15" s="50"/>
      <c r="H15" s="51"/>
      <c r="I15" s="6"/>
      <c r="J15" s="49"/>
      <c r="K15" s="50"/>
      <c r="L15" s="51"/>
      <c r="N15" s="526"/>
      <c r="P15" s="527"/>
    </row>
    <row r="16" spans="1:22" ht="15.6" x14ac:dyDescent="0.3">
      <c r="A16" s="6"/>
      <c r="B16" s="569"/>
      <c r="C16" s="6"/>
      <c r="D16" s="6"/>
      <c r="E16" s="6"/>
      <c r="F16" s="49"/>
      <c r="G16" s="50"/>
      <c r="H16" s="51"/>
      <c r="I16" s="6"/>
      <c r="J16" s="49"/>
      <c r="K16" s="50"/>
      <c r="L16" s="51"/>
      <c r="N16" s="526"/>
      <c r="P16" s="527"/>
      <c r="U16" s="535"/>
      <c r="V16" s="534"/>
    </row>
    <row r="17" spans="1:21" ht="23.4" x14ac:dyDescent="0.4">
      <c r="A17" s="6"/>
      <c r="B17" s="569"/>
      <c r="C17" s="6"/>
      <c r="D17" s="6"/>
      <c r="E17" s="6"/>
      <c r="F17" s="49"/>
      <c r="G17" s="55">
        <f>SUM(OUTPUT!L27:L31)/Argumenter!B326</f>
        <v>0</v>
      </c>
      <c r="H17" s="51"/>
      <c r="I17" s="6"/>
      <c r="J17" s="49"/>
      <c r="K17" s="55">
        <f>J32+K32+L32</f>
        <v>0</v>
      </c>
      <c r="L17" s="51"/>
      <c r="N17" s="526"/>
      <c r="P17" s="527"/>
      <c r="U17" s="535"/>
    </row>
    <row r="18" spans="1:21" ht="15.6" x14ac:dyDescent="0.3">
      <c r="A18" s="6"/>
      <c r="B18" s="569"/>
      <c r="C18" s="6"/>
      <c r="D18" s="6"/>
      <c r="E18" s="6"/>
      <c r="F18" s="49"/>
      <c r="G18" s="54" t="s">
        <v>354</v>
      </c>
      <c r="H18" s="51"/>
      <c r="I18" s="6"/>
      <c r="J18" s="49"/>
      <c r="K18" s="54" t="s">
        <v>353</v>
      </c>
      <c r="L18" s="51"/>
      <c r="N18" s="538"/>
      <c r="O18" s="536" t="s">
        <v>449</v>
      </c>
      <c r="P18" s="540"/>
      <c r="U18" s="535"/>
    </row>
    <row r="19" spans="1:21" ht="44.25" customHeight="1" x14ac:dyDescent="0.3">
      <c r="A19" s="6"/>
      <c r="B19" s="569"/>
      <c r="C19" s="6"/>
      <c r="D19" s="6"/>
      <c r="E19" s="6"/>
      <c r="F19" s="49"/>
      <c r="G19" s="50"/>
      <c r="H19" s="51"/>
      <c r="I19" s="6"/>
      <c r="J19" s="49"/>
      <c r="K19" s="50"/>
      <c r="L19" s="51"/>
      <c r="N19" s="538"/>
      <c r="O19" s="535"/>
      <c r="P19" s="540"/>
      <c r="U19" s="535"/>
    </row>
    <row r="20" spans="1:21" ht="34.200000000000003" x14ac:dyDescent="0.3">
      <c r="A20" s="6"/>
      <c r="B20" s="569"/>
      <c r="C20" s="6"/>
      <c r="D20" s="6"/>
      <c r="E20" s="6"/>
      <c r="F20" s="49"/>
      <c r="G20" s="50"/>
      <c r="H20" s="51"/>
      <c r="I20" s="6"/>
      <c r="J20" s="49"/>
      <c r="K20" s="50"/>
      <c r="L20" s="51"/>
      <c r="N20" s="538"/>
      <c r="O20" s="537" t="s">
        <v>444</v>
      </c>
      <c r="P20" s="541">
        <f>Materialeoutput!I26/('Reference Hus'!E30/1000)</f>
        <v>0</v>
      </c>
      <c r="U20" s="535"/>
    </row>
    <row r="21" spans="1:21" ht="15.6" x14ac:dyDescent="0.3">
      <c r="A21" s="6"/>
      <c r="B21" s="569"/>
      <c r="C21" s="6"/>
      <c r="D21" s="6"/>
      <c r="E21" s="6"/>
      <c r="F21" s="49"/>
      <c r="G21" s="54" t="s">
        <v>356</v>
      </c>
      <c r="H21" s="51"/>
      <c r="I21" s="6"/>
      <c r="J21" s="49"/>
      <c r="K21" s="54" t="s">
        <v>356</v>
      </c>
      <c r="L21" s="51"/>
      <c r="N21" s="538"/>
      <c r="O21" s="535"/>
      <c r="P21" s="540"/>
    </row>
    <row r="22" spans="1:21" ht="15.6" x14ac:dyDescent="0.3">
      <c r="A22" s="6"/>
      <c r="B22" s="569"/>
      <c r="C22" s="6"/>
      <c r="D22" s="6"/>
      <c r="E22" s="6"/>
      <c r="F22" s="49"/>
      <c r="G22" s="54"/>
      <c r="H22" s="51"/>
      <c r="I22" s="6"/>
      <c r="J22" s="49"/>
      <c r="K22" s="54"/>
      <c r="L22" s="51"/>
      <c r="N22" s="538"/>
      <c r="O22" s="536" t="s">
        <v>445</v>
      </c>
      <c r="P22" s="540"/>
    </row>
    <row r="23" spans="1:21" ht="15.6" x14ac:dyDescent="0.3">
      <c r="A23" s="6"/>
      <c r="B23" s="569"/>
      <c r="C23" s="6"/>
      <c r="D23" s="6"/>
      <c r="E23" s="6"/>
      <c r="F23" s="49"/>
      <c r="G23" s="50"/>
      <c r="H23" s="51"/>
      <c r="I23" s="6"/>
      <c r="J23" s="49"/>
      <c r="K23" s="50"/>
      <c r="L23" s="51"/>
      <c r="N23" s="526"/>
      <c r="P23" s="527"/>
    </row>
    <row r="24" spans="1:21" ht="15.6" x14ac:dyDescent="0.3">
      <c r="A24" s="6"/>
      <c r="B24" s="569"/>
      <c r="C24" s="6"/>
      <c r="D24" s="6"/>
      <c r="E24" s="6"/>
      <c r="F24" s="49"/>
      <c r="G24" s="50"/>
      <c r="H24" s="51"/>
      <c r="I24" s="6"/>
      <c r="J24" s="49"/>
      <c r="K24" s="50"/>
      <c r="L24" s="51"/>
      <c r="N24" s="526"/>
      <c r="P24" s="527"/>
    </row>
    <row r="25" spans="1:21" ht="33.75" customHeight="1" x14ac:dyDescent="0.3">
      <c r="A25" s="6"/>
      <c r="B25" s="569"/>
      <c r="C25" s="6"/>
      <c r="D25" s="6"/>
      <c r="E25" s="6"/>
      <c r="F25" s="49"/>
      <c r="G25" s="50"/>
      <c r="H25" s="51"/>
      <c r="I25" s="6"/>
      <c r="J25" s="49"/>
      <c r="K25" s="50"/>
      <c r="L25" s="51"/>
      <c r="N25" s="526"/>
      <c r="P25" s="527"/>
    </row>
    <row r="26" spans="1:21" ht="15" x14ac:dyDescent="0.3">
      <c r="A26" s="6"/>
      <c r="B26" s="569"/>
      <c r="C26" s="6"/>
      <c r="D26" s="6"/>
      <c r="E26" s="6"/>
      <c r="F26" s="56" t="s">
        <v>31</v>
      </c>
      <c r="G26" s="7" t="s">
        <v>105</v>
      </c>
      <c r="H26" s="57" t="s">
        <v>115</v>
      </c>
      <c r="I26" s="6"/>
      <c r="J26" s="56" t="s">
        <v>31</v>
      </c>
      <c r="K26" s="7" t="s">
        <v>105</v>
      </c>
      <c r="L26" s="57" t="s">
        <v>115</v>
      </c>
      <c r="N26" s="526"/>
      <c r="P26" s="527"/>
    </row>
    <row r="27" spans="1:21" ht="15.6" x14ac:dyDescent="0.3">
      <c r="A27" s="6"/>
      <c r="B27" s="569"/>
      <c r="C27" s="6"/>
      <c r="D27" s="6"/>
      <c r="E27" s="6"/>
      <c r="F27" s="49"/>
      <c r="G27" s="50"/>
      <c r="H27" s="51"/>
      <c r="I27" s="6"/>
      <c r="J27" s="49"/>
      <c r="K27" s="50"/>
      <c r="L27" s="51"/>
      <c r="N27" s="526"/>
      <c r="P27" s="527"/>
    </row>
    <row r="28" spans="1:21" ht="15" x14ac:dyDescent="0.3">
      <c r="A28" s="6"/>
      <c r="B28" s="569"/>
      <c r="C28" s="6"/>
      <c r="D28" s="6"/>
      <c r="E28" s="6"/>
      <c r="F28" s="52"/>
      <c r="G28" s="6"/>
      <c r="H28" s="53"/>
      <c r="I28" s="6"/>
      <c r="J28" s="52"/>
      <c r="K28" s="6"/>
      <c r="L28" s="53"/>
      <c r="N28" s="538"/>
      <c r="O28" s="536" t="s">
        <v>450</v>
      </c>
      <c r="P28" s="540"/>
    </row>
    <row r="29" spans="1:21" ht="42" customHeight="1" x14ac:dyDescent="0.3">
      <c r="A29" s="6"/>
      <c r="B29" s="569"/>
      <c r="C29" s="6"/>
      <c r="D29" s="6"/>
      <c r="E29" s="6"/>
      <c r="F29" s="49"/>
      <c r="G29" s="50"/>
      <c r="H29" s="51"/>
      <c r="I29" s="6"/>
      <c r="J29" s="49"/>
      <c r="K29" s="50"/>
      <c r="L29" s="51"/>
      <c r="N29" s="538"/>
      <c r="O29" s="535"/>
      <c r="P29" s="540"/>
    </row>
    <row r="30" spans="1:21" ht="34.200000000000003" x14ac:dyDescent="0.3">
      <c r="A30" s="6"/>
      <c r="B30" s="569"/>
      <c r="C30" s="6"/>
      <c r="D30" s="6"/>
      <c r="E30" s="6"/>
      <c r="F30" s="49"/>
      <c r="G30" s="50"/>
      <c r="H30" s="51"/>
      <c r="I30" s="6"/>
      <c r="J30" s="49"/>
      <c r="K30" s="50"/>
      <c r="L30" s="51"/>
      <c r="N30" s="538"/>
      <c r="O30" s="537" t="s">
        <v>444</v>
      </c>
      <c r="P30" s="541">
        <f>Materialeoutput!H28/('Reference Hus'!E28/1000)</f>
        <v>0</v>
      </c>
    </row>
    <row r="31" spans="1:21" ht="15.6" x14ac:dyDescent="0.3">
      <c r="A31" s="6"/>
      <c r="B31" s="569"/>
      <c r="C31" s="6"/>
      <c r="D31" s="6"/>
      <c r="E31" s="6"/>
      <c r="F31" s="49"/>
      <c r="G31" s="50"/>
      <c r="H31" s="51"/>
      <c r="I31" s="6"/>
      <c r="J31" s="49"/>
      <c r="K31" s="50"/>
      <c r="L31" s="51"/>
      <c r="N31" s="538"/>
      <c r="O31" s="535"/>
      <c r="P31" s="540"/>
    </row>
    <row r="32" spans="1:21" ht="15" x14ac:dyDescent="0.3">
      <c r="A32" s="6"/>
      <c r="B32" s="569"/>
      <c r="C32" s="6"/>
      <c r="D32" s="6"/>
      <c r="E32" s="6"/>
      <c r="F32" s="59">
        <f>OUTPUT!L27/Argumenter!B326</f>
        <v>0</v>
      </c>
      <c r="G32" s="58">
        <f>OUTPUT!L29/Argumenter!B326</f>
        <v>0</v>
      </c>
      <c r="H32" s="60">
        <f>OUTPUT!L31/Argumenter!B326</f>
        <v>0</v>
      </c>
      <c r="I32" s="6"/>
      <c r="J32" s="59">
        <f>(Materialeoutput!H24)*1000/Argumenter!B330</f>
        <v>0</v>
      </c>
      <c r="K32" s="58">
        <f>(Materialeoutput!H26)*1000/Argumenter!B330</f>
        <v>0</v>
      </c>
      <c r="L32" s="60">
        <f>(Materialeoutput!H28)*1000/Argumenter!B330</f>
        <v>0</v>
      </c>
      <c r="N32" s="538"/>
      <c r="O32" s="536" t="s">
        <v>445</v>
      </c>
      <c r="P32" s="540"/>
    </row>
    <row r="33" spans="1:16" ht="26.25" customHeight="1" x14ac:dyDescent="0.3">
      <c r="A33" s="6"/>
      <c r="B33" s="569"/>
      <c r="C33" s="6"/>
      <c r="D33" s="6"/>
      <c r="E33" s="6"/>
      <c r="F33" s="61"/>
      <c r="G33" s="54" t="s">
        <v>355</v>
      </c>
      <c r="H33" s="62"/>
      <c r="I33" s="6"/>
      <c r="J33" s="61"/>
      <c r="K33" s="54" t="s">
        <v>353</v>
      </c>
      <c r="L33" s="62"/>
      <c r="N33" s="526"/>
      <c r="P33" s="527"/>
    </row>
    <row r="34" spans="1:16" ht="26.25" customHeight="1" x14ac:dyDescent="0.3">
      <c r="A34" s="6"/>
      <c r="B34" s="569"/>
      <c r="C34" s="6"/>
      <c r="D34" s="6"/>
      <c r="E34" s="6"/>
      <c r="F34" s="61"/>
      <c r="G34" s="54"/>
      <c r="H34" s="62"/>
      <c r="I34" s="6"/>
      <c r="J34" s="61"/>
      <c r="K34" s="54"/>
      <c r="L34" s="62"/>
      <c r="N34" s="526"/>
      <c r="P34" s="527"/>
    </row>
    <row r="35" spans="1:16" ht="15" thickBot="1" x14ac:dyDescent="0.35">
      <c r="A35" s="6"/>
      <c r="B35" s="569"/>
      <c r="C35" s="6"/>
      <c r="D35" s="6"/>
      <c r="E35" s="6"/>
      <c r="F35" s="63"/>
      <c r="G35" s="64"/>
      <c r="H35" s="65"/>
      <c r="I35" s="6"/>
      <c r="J35" s="63"/>
      <c r="K35" s="64"/>
      <c r="L35" s="65"/>
      <c r="N35" s="528"/>
      <c r="O35" s="529"/>
      <c r="P35" s="530"/>
    </row>
  </sheetData>
  <sheetProtection sheet="1" objects="1" scenarios="1"/>
  <mergeCells count="2">
    <mergeCell ref="B3:B35"/>
    <mergeCell ref="N6:P6"/>
  </mergeCells>
  <pageMargins left="0.7" right="0.7" top="0.75" bottom="0.75" header="0.3" footer="0.3"/>
  <pageSetup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7">
    <tabColor theme="0"/>
  </sheetPr>
  <dimension ref="A2:XFC516"/>
  <sheetViews>
    <sheetView topLeftCell="A417" zoomScaleNormal="100" workbookViewId="0">
      <selection activeCell="D230" sqref="D230"/>
    </sheetView>
  </sheetViews>
  <sheetFormatPr defaultColWidth="9.109375" defaultRowHeight="13.8" x14ac:dyDescent="0.25"/>
  <cols>
    <col min="1" max="1" width="45.88671875" style="133" customWidth="1"/>
    <col min="2" max="2" width="56.109375" style="133" customWidth="1"/>
    <col min="3" max="3" width="26.6640625" style="133" customWidth="1"/>
    <col min="4" max="4" width="34.109375" style="68" customWidth="1"/>
    <col min="5" max="5" width="19.6640625" style="68" customWidth="1"/>
    <col min="6" max="6" width="57.5546875" style="68" customWidth="1"/>
    <col min="7" max="7" width="36.6640625" style="68" customWidth="1"/>
    <col min="8" max="8" width="15.88671875" style="68" customWidth="1"/>
    <col min="9" max="9" width="17.109375" style="68" customWidth="1"/>
    <col min="10" max="10" width="21.109375" style="68" customWidth="1"/>
    <col min="11" max="11" width="17" style="13" customWidth="1"/>
    <col min="12" max="12" width="17.88671875" style="13" customWidth="1"/>
    <col min="13" max="13" width="21.5546875" style="13" customWidth="1"/>
    <col min="14" max="14" width="12.5546875" style="13" customWidth="1"/>
    <col min="15" max="15" width="13.33203125" style="13" customWidth="1"/>
    <col min="16" max="16" width="21.44140625" style="13" customWidth="1"/>
    <col min="17" max="17" width="13.88671875" style="13" customWidth="1"/>
    <col min="18" max="18" width="17" style="13" customWidth="1"/>
    <col min="19" max="19" width="19.5546875" style="13" customWidth="1"/>
    <col min="20" max="22" width="9.109375" style="13"/>
    <col min="23" max="26" width="40.6640625" style="13" customWidth="1"/>
    <col min="27" max="1229" width="9.109375" style="13"/>
    <col min="1230" max="16384" width="9.109375" style="68"/>
  </cols>
  <sheetData>
    <row r="2" spans="1:10" ht="46.5" customHeight="1" x14ac:dyDescent="0.25">
      <c r="A2" s="422" t="s">
        <v>75</v>
      </c>
      <c r="B2" s="67"/>
      <c r="C2" s="67"/>
      <c r="D2" s="13"/>
      <c r="E2" s="13"/>
      <c r="F2" s="13"/>
      <c r="G2" s="13"/>
      <c r="H2" s="13"/>
      <c r="I2" s="13"/>
      <c r="J2" s="13"/>
    </row>
    <row r="3" spans="1:10" ht="27.6" x14ac:dyDescent="0.25">
      <c r="A3" s="67" t="s">
        <v>76</v>
      </c>
      <c r="B3" s="67"/>
      <c r="C3" s="67"/>
      <c r="D3" s="13"/>
      <c r="E3" s="13"/>
      <c r="F3" s="13"/>
      <c r="G3" s="13"/>
      <c r="H3" s="13"/>
      <c r="I3" s="13"/>
      <c r="J3" s="13"/>
    </row>
    <row r="4" spans="1:10" ht="27.6" x14ac:dyDescent="0.25">
      <c r="A4" s="67" t="s">
        <v>128</v>
      </c>
      <c r="B4" s="67"/>
      <c r="C4" s="67"/>
      <c r="D4" s="13"/>
      <c r="E4" s="13"/>
      <c r="F4" s="13"/>
      <c r="G4" s="13"/>
      <c r="H4" s="13"/>
      <c r="I4" s="13"/>
      <c r="J4" s="13"/>
    </row>
    <row r="5" spans="1:10" x14ac:dyDescent="0.25">
      <c r="A5" s="67"/>
      <c r="B5" s="67"/>
      <c r="C5" s="67"/>
      <c r="D5" s="13"/>
      <c r="E5" s="13"/>
      <c r="F5" s="13"/>
      <c r="G5" s="13"/>
      <c r="H5" s="13"/>
      <c r="I5" s="13"/>
      <c r="J5" s="13"/>
    </row>
    <row r="6" spans="1:10" ht="24.6" customHeight="1" x14ac:dyDescent="0.25">
      <c r="A6" s="502" t="s">
        <v>129</v>
      </c>
      <c r="B6" s="67"/>
      <c r="C6" s="67"/>
      <c r="D6" s="13"/>
      <c r="E6" s="13"/>
      <c r="F6" s="13"/>
      <c r="G6" s="13"/>
      <c r="H6" s="13"/>
      <c r="I6" s="13"/>
      <c r="J6" s="13"/>
    </row>
    <row r="7" spans="1:10" hidden="1" x14ac:dyDescent="0.25">
      <c r="A7" s="372" t="s">
        <v>130</v>
      </c>
      <c r="B7" s="372" t="e">
        <f>#REF!</f>
        <v>#REF!</v>
      </c>
      <c r="C7" s="372" t="e">
        <f>#REF!</f>
        <v>#REF!</v>
      </c>
      <c r="D7" s="373" t="e">
        <f>#REF!</f>
        <v>#REF!</v>
      </c>
      <c r="E7" s="13"/>
      <c r="F7" s="13"/>
      <c r="G7" s="13"/>
      <c r="H7" s="13"/>
      <c r="I7" s="13"/>
      <c r="J7" s="13"/>
    </row>
    <row r="8" spans="1:10" hidden="1" x14ac:dyDescent="0.25">
      <c r="A8" s="67"/>
      <c r="B8" s="67"/>
      <c r="C8" s="67"/>
      <c r="D8" s="13"/>
      <c r="E8" s="13"/>
      <c r="F8" s="13"/>
      <c r="G8" s="13"/>
      <c r="H8" s="13"/>
      <c r="I8" s="13"/>
      <c r="J8" s="13"/>
    </row>
    <row r="9" spans="1:10" hidden="1" x14ac:dyDescent="0.25">
      <c r="A9" s="69" t="s">
        <v>304</v>
      </c>
      <c r="B9" s="69" t="str">
        <f>INPUT!D6</f>
        <v>Jord</v>
      </c>
      <c r="C9" s="69" t="str">
        <f>INPUT!D11</f>
        <v>Asfalt</v>
      </c>
      <c r="D9" s="70" t="str">
        <f>INPUT!D16</f>
        <v>Beton</v>
      </c>
      <c r="E9" s="13"/>
      <c r="F9" s="13"/>
      <c r="G9" s="13"/>
      <c r="H9" s="13"/>
      <c r="I9" s="13"/>
      <c r="J9" s="13"/>
    </row>
    <row r="10" spans="1:10" hidden="1" x14ac:dyDescent="0.25">
      <c r="A10" s="67"/>
      <c r="B10" s="67"/>
      <c r="C10" s="67"/>
      <c r="D10" s="13"/>
      <c r="E10" s="13"/>
      <c r="F10" s="13"/>
      <c r="G10" s="13"/>
      <c r="H10" s="13"/>
      <c r="I10" s="13"/>
      <c r="J10" s="13"/>
    </row>
    <row r="11" spans="1:10" hidden="1" x14ac:dyDescent="0.25">
      <c r="A11" s="67"/>
      <c r="B11" s="67"/>
      <c r="C11" s="67"/>
      <c r="D11" s="13"/>
      <c r="E11" s="13"/>
      <c r="F11" s="13"/>
      <c r="G11" s="13"/>
      <c r="H11" s="13"/>
      <c r="I11" s="13"/>
      <c r="J11" s="13"/>
    </row>
    <row r="12" spans="1:10" ht="30.6" hidden="1" customHeight="1" x14ac:dyDescent="0.25">
      <c r="A12" s="374" t="s">
        <v>57</v>
      </c>
      <c r="B12" s="375"/>
      <c r="C12" s="375"/>
      <c r="D12" s="376"/>
      <c r="E12" s="376"/>
      <c r="F12" s="376"/>
      <c r="G12" s="376"/>
      <c r="H12" s="376"/>
      <c r="I12" s="376"/>
      <c r="J12" s="376"/>
    </row>
    <row r="13" spans="1:10" ht="15" hidden="1" x14ac:dyDescent="0.25">
      <c r="A13" s="421" t="s">
        <v>20</v>
      </c>
      <c r="B13" s="421" t="s">
        <v>293</v>
      </c>
      <c r="C13" s="421" t="s">
        <v>54</v>
      </c>
      <c r="D13" s="13"/>
      <c r="E13" s="13"/>
      <c r="F13" s="13"/>
      <c r="G13" s="13"/>
      <c r="H13" s="13"/>
      <c r="I13" s="13"/>
      <c r="J13" s="13"/>
    </row>
    <row r="14" spans="1:10" ht="21" hidden="1" x14ac:dyDescent="0.25">
      <c r="A14" s="71" t="s">
        <v>30</v>
      </c>
      <c r="B14" s="72"/>
      <c r="C14" s="73"/>
      <c r="D14" s="13"/>
      <c r="E14" s="13"/>
      <c r="F14" s="13"/>
      <c r="G14" s="13"/>
      <c r="H14" s="13"/>
      <c r="I14" s="13"/>
      <c r="J14" s="13"/>
    </row>
    <row r="15" spans="1:10" hidden="1" x14ac:dyDescent="0.25">
      <c r="A15" s="74"/>
      <c r="B15" s="67" t="s">
        <v>59</v>
      </c>
      <c r="C15" s="75">
        <v>14</v>
      </c>
      <c r="D15" s="13"/>
      <c r="E15" s="13"/>
      <c r="F15" s="13"/>
      <c r="G15" s="13"/>
      <c r="H15" s="13"/>
      <c r="I15" s="13"/>
      <c r="J15" s="13"/>
    </row>
    <row r="16" spans="1:10" hidden="1" x14ac:dyDescent="0.25">
      <c r="A16" s="76"/>
      <c r="B16" s="77"/>
      <c r="C16" s="78"/>
      <c r="D16" s="13"/>
      <c r="E16" s="13"/>
      <c r="F16" s="13"/>
      <c r="G16" s="13"/>
      <c r="H16" s="13"/>
      <c r="I16" s="13"/>
      <c r="J16" s="13"/>
    </row>
    <row r="17" spans="1:10" ht="21" hidden="1" x14ac:dyDescent="0.25">
      <c r="A17" s="71" t="s">
        <v>27</v>
      </c>
      <c r="B17" s="72"/>
      <c r="C17" s="73"/>
      <c r="D17" s="13"/>
      <c r="E17" s="13"/>
      <c r="F17" s="13"/>
      <c r="G17" s="13"/>
      <c r="H17" s="13"/>
      <c r="I17" s="13"/>
      <c r="J17" s="13"/>
    </row>
    <row r="18" spans="1:10" hidden="1" x14ac:dyDescent="0.25">
      <c r="A18" s="74"/>
      <c r="B18" s="67"/>
      <c r="C18" s="75"/>
      <c r="D18" s="13"/>
      <c r="E18" s="13"/>
      <c r="F18" s="13"/>
      <c r="G18" s="13"/>
      <c r="H18" s="13"/>
      <c r="I18" s="13"/>
      <c r="J18" s="13"/>
    </row>
    <row r="19" spans="1:10" hidden="1" x14ac:dyDescent="0.25">
      <c r="A19" s="74"/>
      <c r="B19" s="67"/>
      <c r="C19" s="75"/>
      <c r="D19" s="13"/>
      <c r="E19" s="13"/>
      <c r="F19" s="13"/>
      <c r="G19" s="13"/>
      <c r="H19" s="13"/>
      <c r="I19" s="13"/>
      <c r="J19" s="13"/>
    </row>
    <row r="20" spans="1:10" hidden="1" x14ac:dyDescent="0.25">
      <c r="A20" s="76"/>
      <c r="B20" s="77"/>
      <c r="C20" s="78"/>
      <c r="D20" s="13"/>
      <c r="E20" s="13"/>
      <c r="F20" s="13"/>
      <c r="G20" s="13"/>
      <c r="H20" s="13"/>
      <c r="I20" s="13"/>
      <c r="J20" s="13"/>
    </row>
    <row r="21" spans="1:10" ht="21" hidden="1" x14ac:dyDescent="0.25">
      <c r="A21" s="71" t="s">
        <v>0</v>
      </c>
      <c r="B21" s="72"/>
      <c r="C21" s="73"/>
      <c r="D21" s="13"/>
      <c r="E21" s="13"/>
      <c r="F21" s="13"/>
      <c r="G21" s="13"/>
      <c r="H21" s="13"/>
      <c r="I21" s="13"/>
      <c r="J21" s="13"/>
    </row>
    <row r="22" spans="1:10" ht="27.6" hidden="1" x14ac:dyDescent="0.25">
      <c r="A22" s="74"/>
      <c r="B22" s="67" t="s">
        <v>58</v>
      </c>
      <c r="C22" s="75"/>
      <c r="D22" s="13"/>
      <c r="E22" s="13"/>
      <c r="F22" s="13"/>
      <c r="G22" s="13"/>
      <c r="H22" s="13"/>
      <c r="I22" s="13"/>
      <c r="J22" s="13"/>
    </row>
    <row r="23" spans="1:10" hidden="1" x14ac:dyDescent="0.25">
      <c r="A23" s="74"/>
      <c r="B23" s="67" t="s">
        <v>62</v>
      </c>
      <c r="C23" s="75">
        <v>66</v>
      </c>
      <c r="D23" s="13"/>
      <c r="E23" s="13"/>
      <c r="F23" s="13"/>
      <c r="G23" s="13"/>
      <c r="H23" s="13"/>
      <c r="I23" s="13"/>
      <c r="J23" s="13"/>
    </row>
    <row r="24" spans="1:10" hidden="1" x14ac:dyDescent="0.25">
      <c r="A24" s="74"/>
      <c r="B24" s="67"/>
      <c r="C24" s="75"/>
      <c r="D24" s="13"/>
      <c r="E24" s="13"/>
      <c r="F24" s="13"/>
      <c r="G24" s="13"/>
      <c r="H24" s="13"/>
      <c r="I24" s="13"/>
      <c r="J24" s="13"/>
    </row>
    <row r="25" spans="1:10" hidden="1" x14ac:dyDescent="0.25">
      <c r="A25" s="74"/>
      <c r="B25" s="67"/>
      <c r="C25" s="75"/>
      <c r="D25" s="13"/>
      <c r="E25" s="13"/>
      <c r="F25" s="13"/>
      <c r="G25" s="13"/>
      <c r="H25" s="13"/>
      <c r="I25" s="13"/>
      <c r="J25" s="13"/>
    </row>
    <row r="26" spans="1:10" ht="22.5" hidden="1" customHeight="1" x14ac:dyDescent="0.25">
      <c r="A26" s="76"/>
      <c r="B26" s="77"/>
      <c r="C26" s="78"/>
      <c r="D26" s="13"/>
      <c r="E26" s="13"/>
      <c r="F26" s="13"/>
      <c r="G26" s="13"/>
      <c r="H26" s="13"/>
      <c r="I26" s="13"/>
      <c r="J26" s="13"/>
    </row>
    <row r="27" spans="1:10" ht="30.6" customHeight="1" x14ac:dyDescent="0.25">
      <c r="A27" s="503" t="s">
        <v>195</v>
      </c>
      <c r="B27" s="79"/>
      <c r="C27" s="79"/>
      <c r="D27" s="80"/>
      <c r="E27" s="80"/>
      <c r="F27" s="80"/>
      <c r="G27" s="80"/>
      <c r="H27" s="80"/>
      <c r="I27" s="80"/>
      <c r="J27" s="80"/>
    </row>
    <row r="28" spans="1:10" hidden="1" x14ac:dyDescent="0.25">
      <c r="A28" s="67"/>
      <c r="B28" s="67"/>
      <c r="C28" s="67"/>
      <c r="D28" s="13"/>
      <c r="E28" s="13"/>
      <c r="F28" s="13"/>
      <c r="G28" s="13"/>
      <c r="H28" s="13"/>
      <c r="I28" s="13"/>
      <c r="J28" s="13"/>
    </row>
    <row r="29" spans="1:10" hidden="1" x14ac:dyDescent="0.25">
      <c r="A29" s="67"/>
      <c r="B29" s="67"/>
      <c r="C29" s="67"/>
      <c r="D29" s="13"/>
      <c r="E29" s="13"/>
      <c r="F29" s="13"/>
      <c r="G29" s="13"/>
      <c r="H29" s="13"/>
      <c r="I29" s="13"/>
      <c r="J29" s="13"/>
    </row>
    <row r="30" spans="1:10" hidden="1" x14ac:dyDescent="0.25">
      <c r="A30" s="67"/>
      <c r="B30" s="67"/>
      <c r="C30" s="67"/>
      <c r="D30" s="13"/>
      <c r="E30" s="13"/>
      <c r="F30" s="13"/>
      <c r="G30" s="13"/>
      <c r="H30" s="13"/>
      <c r="I30" s="13"/>
      <c r="J30" s="13"/>
    </row>
    <row r="31" spans="1:10" ht="0.9" customHeight="1" x14ac:dyDescent="0.4">
      <c r="A31" s="336" t="s">
        <v>130</v>
      </c>
      <c r="B31" s="332"/>
      <c r="C31" s="67"/>
      <c r="D31" s="13"/>
      <c r="E31" s="13"/>
      <c r="F31" s="13"/>
      <c r="G31" s="13"/>
      <c r="H31" s="13"/>
      <c r="I31" s="13"/>
      <c r="J31" s="13"/>
    </row>
    <row r="32" spans="1:10" ht="16.5" hidden="1" customHeight="1" x14ac:dyDescent="0.25">
      <c r="A32" s="371" t="s">
        <v>294</v>
      </c>
      <c r="B32" s="371" t="s">
        <v>67</v>
      </c>
      <c r="C32" s="68"/>
      <c r="E32" s="13"/>
      <c r="F32" s="13"/>
      <c r="G32" s="13"/>
      <c r="H32" s="13"/>
      <c r="I32" s="13"/>
      <c r="J32" s="13"/>
    </row>
    <row r="33" spans="1:10" hidden="1" x14ac:dyDescent="0.25">
      <c r="A33" s="81" t="str">
        <f>A14</f>
        <v>Vingetegl</v>
      </c>
      <c r="B33" s="73"/>
      <c r="C33" s="67"/>
      <c r="D33" s="13"/>
      <c r="E33" s="13"/>
      <c r="F33" s="13"/>
      <c r="G33" s="13"/>
      <c r="H33" s="13"/>
      <c r="I33" s="13"/>
      <c r="J33" s="13"/>
    </row>
    <row r="34" spans="1:10" hidden="1" x14ac:dyDescent="0.25">
      <c r="A34" s="82"/>
      <c r="B34" s="75"/>
      <c r="C34" s="67"/>
      <c r="D34" s="13"/>
      <c r="E34" s="13"/>
      <c r="F34" s="13"/>
      <c r="G34" s="13"/>
      <c r="H34" s="13"/>
      <c r="I34" s="13"/>
      <c r="J34" s="13"/>
    </row>
    <row r="35" spans="1:10" hidden="1" x14ac:dyDescent="0.25">
      <c r="A35" s="83" t="s">
        <v>209</v>
      </c>
      <c r="B35" s="84"/>
      <c r="C35" s="67"/>
      <c r="D35" s="13"/>
      <c r="E35" s="13"/>
      <c r="F35" s="13"/>
      <c r="G35" s="13"/>
      <c r="H35" s="13"/>
      <c r="I35" s="13"/>
      <c r="J35" s="13"/>
    </row>
    <row r="36" spans="1:10" hidden="1" x14ac:dyDescent="0.25">
      <c r="A36" s="85"/>
      <c r="B36" s="84"/>
      <c r="C36" s="67"/>
      <c r="D36" s="13"/>
      <c r="E36" s="13"/>
      <c r="F36" s="13"/>
      <c r="G36" s="13"/>
      <c r="H36" s="13"/>
      <c r="I36" s="13"/>
      <c r="J36" s="13"/>
    </row>
    <row r="37" spans="1:10" ht="49.5" hidden="1" customHeight="1" x14ac:dyDescent="0.25">
      <c r="A37" s="83" t="s">
        <v>207</v>
      </c>
      <c r="B37" s="86" t="s">
        <v>223</v>
      </c>
      <c r="C37" s="67"/>
      <c r="D37" s="13"/>
      <c r="E37" s="13"/>
      <c r="F37" s="13"/>
      <c r="G37" s="13"/>
      <c r="H37" s="13"/>
      <c r="I37" s="13"/>
      <c r="J37" s="13"/>
    </row>
    <row r="38" spans="1:10" hidden="1" x14ac:dyDescent="0.25">
      <c r="A38" s="82"/>
      <c r="B38" s="84"/>
      <c r="C38" s="67"/>
      <c r="D38" s="13"/>
      <c r="E38" s="13"/>
      <c r="F38" s="13"/>
      <c r="G38" s="13"/>
      <c r="H38" s="13"/>
      <c r="I38" s="13"/>
      <c r="J38" s="13"/>
    </row>
    <row r="39" spans="1:10" ht="6.9" hidden="1" customHeight="1" x14ac:dyDescent="0.25">
      <c r="A39" s="82" t="s">
        <v>102</v>
      </c>
      <c r="B39" s="86" t="s">
        <v>289</v>
      </c>
      <c r="C39" s="67"/>
      <c r="D39" s="13"/>
      <c r="E39" s="13"/>
      <c r="F39" s="13"/>
      <c r="G39" s="13"/>
      <c r="H39" s="13"/>
      <c r="I39" s="13"/>
      <c r="J39" s="13"/>
    </row>
    <row r="40" spans="1:10" ht="41.4" hidden="1" x14ac:dyDescent="0.25">
      <c r="A40" s="82" t="s">
        <v>194</v>
      </c>
      <c r="B40" s="75" t="s">
        <v>274</v>
      </c>
      <c r="C40" s="67"/>
      <c r="D40" s="13"/>
      <c r="E40" s="13"/>
      <c r="F40" s="13"/>
      <c r="G40" s="13"/>
      <c r="H40" s="13"/>
      <c r="I40" s="13"/>
      <c r="J40" s="13"/>
    </row>
    <row r="41" spans="1:10" ht="27.6" hidden="1" x14ac:dyDescent="0.25">
      <c r="A41" s="82" t="s">
        <v>208</v>
      </c>
      <c r="B41" s="75" t="s">
        <v>278</v>
      </c>
      <c r="C41" s="67"/>
      <c r="D41" s="13"/>
      <c r="E41" s="13"/>
      <c r="F41" s="13"/>
      <c r="G41" s="13"/>
      <c r="H41" s="13"/>
      <c r="I41" s="13"/>
      <c r="J41" s="13"/>
    </row>
    <row r="42" spans="1:10" hidden="1" x14ac:dyDescent="0.25">
      <c r="A42" s="82"/>
      <c r="B42" s="75"/>
      <c r="C42" s="67"/>
      <c r="D42" s="13"/>
      <c r="E42" s="13"/>
      <c r="F42" s="13"/>
      <c r="G42" s="13"/>
      <c r="H42" s="13"/>
      <c r="I42" s="13"/>
      <c r="J42" s="13"/>
    </row>
    <row r="43" spans="1:10" hidden="1" x14ac:dyDescent="0.25">
      <c r="A43" s="82"/>
      <c r="B43" s="75"/>
      <c r="C43" s="67"/>
      <c r="D43" s="13"/>
      <c r="E43" s="13"/>
      <c r="F43" s="13"/>
      <c r="G43" s="13"/>
      <c r="H43" s="13"/>
      <c r="I43" s="13"/>
      <c r="J43" s="13"/>
    </row>
    <row r="44" spans="1:10" hidden="1" x14ac:dyDescent="0.25">
      <c r="A44" s="82"/>
      <c r="B44" s="75"/>
      <c r="C44" s="67"/>
      <c r="D44" s="13"/>
      <c r="E44" s="13"/>
      <c r="F44" s="13"/>
      <c r="G44" s="13"/>
      <c r="H44" s="13"/>
      <c r="I44" s="13"/>
      <c r="J44" s="13"/>
    </row>
    <row r="45" spans="1:10" hidden="1" x14ac:dyDescent="0.25">
      <c r="A45" s="87"/>
      <c r="B45" s="78"/>
      <c r="C45" s="67"/>
      <c r="D45" s="13"/>
      <c r="E45" s="13"/>
      <c r="F45" s="13"/>
      <c r="G45" s="13"/>
      <c r="H45" s="13"/>
      <c r="I45" s="13"/>
      <c r="J45" s="13"/>
    </row>
    <row r="46" spans="1:10" hidden="1" x14ac:dyDescent="0.25">
      <c r="A46" s="81" t="str">
        <f>A17</f>
        <v>Glas</v>
      </c>
      <c r="B46" s="73"/>
      <c r="C46" s="67"/>
      <c r="D46" s="13"/>
      <c r="E46" s="13"/>
      <c r="F46" s="13"/>
      <c r="G46" s="13"/>
      <c r="H46" s="13"/>
      <c r="I46" s="13"/>
      <c r="J46" s="13"/>
    </row>
    <row r="47" spans="1:10" hidden="1" x14ac:dyDescent="0.25">
      <c r="A47" s="82"/>
      <c r="B47" s="75"/>
      <c r="C47" s="67"/>
      <c r="D47" s="13"/>
      <c r="E47" s="13"/>
      <c r="F47" s="13"/>
      <c r="G47" s="13"/>
      <c r="H47" s="13"/>
      <c r="I47" s="13"/>
      <c r="J47" s="13"/>
    </row>
    <row r="48" spans="1:10" hidden="1" x14ac:dyDescent="0.25">
      <c r="A48" s="82"/>
      <c r="B48" s="75"/>
      <c r="C48" s="67"/>
      <c r="D48" s="13"/>
      <c r="E48" s="13"/>
      <c r="F48" s="13"/>
      <c r="G48" s="13"/>
      <c r="H48" s="13"/>
      <c r="I48" s="13"/>
      <c r="J48" s="13"/>
    </row>
    <row r="49" spans="1:10" ht="15.6" hidden="1" customHeight="1" x14ac:dyDescent="0.25">
      <c r="A49" s="82" t="s">
        <v>211</v>
      </c>
      <c r="B49" s="75" t="s">
        <v>290</v>
      </c>
      <c r="C49" s="67"/>
      <c r="D49" s="13"/>
      <c r="E49" s="13"/>
      <c r="F49" s="13"/>
      <c r="G49" s="13"/>
      <c r="H49" s="13"/>
      <c r="I49" s="13"/>
      <c r="J49" s="13"/>
    </row>
    <row r="50" spans="1:10" ht="27.6" hidden="1" x14ac:dyDescent="0.25">
      <c r="A50" s="82" t="s">
        <v>277</v>
      </c>
      <c r="B50" s="75" t="s">
        <v>276</v>
      </c>
      <c r="C50" s="67"/>
      <c r="D50" s="13"/>
      <c r="E50" s="13"/>
      <c r="F50" s="13"/>
      <c r="G50" s="13"/>
      <c r="H50" s="13"/>
      <c r="I50" s="13"/>
      <c r="J50" s="13"/>
    </row>
    <row r="51" spans="1:10" hidden="1" x14ac:dyDescent="0.25">
      <c r="A51" s="82"/>
      <c r="B51" s="75"/>
      <c r="C51" s="67"/>
      <c r="D51" s="13"/>
      <c r="E51" s="13"/>
      <c r="F51" s="13"/>
      <c r="G51" s="13"/>
      <c r="H51" s="13"/>
      <c r="I51" s="13"/>
      <c r="J51" s="13"/>
    </row>
    <row r="52" spans="1:10" hidden="1" x14ac:dyDescent="0.25">
      <c r="A52" s="82"/>
      <c r="B52" s="75"/>
      <c r="C52" s="67"/>
      <c r="D52" s="13"/>
      <c r="E52" s="13"/>
      <c r="F52" s="13"/>
      <c r="G52" s="13"/>
      <c r="H52" s="13"/>
      <c r="I52" s="13"/>
      <c r="J52" s="13"/>
    </row>
    <row r="53" spans="1:10" hidden="1" x14ac:dyDescent="0.25">
      <c r="A53" s="82"/>
      <c r="B53" s="75"/>
      <c r="C53" s="67"/>
      <c r="D53" s="13"/>
      <c r="E53" s="13"/>
      <c r="F53" s="13"/>
      <c r="G53" s="13"/>
      <c r="H53" s="13"/>
      <c r="I53" s="13"/>
      <c r="J53" s="13"/>
    </row>
    <row r="54" spans="1:10" hidden="1" x14ac:dyDescent="0.25">
      <c r="A54" s="87"/>
      <c r="B54" s="78"/>
      <c r="C54" s="67"/>
      <c r="D54" s="13"/>
      <c r="E54" s="13"/>
      <c r="F54" s="13"/>
      <c r="G54" s="13"/>
      <c r="H54" s="13"/>
      <c r="I54" s="13"/>
      <c r="J54" s="13"/>
    </row>
    <row r="55" spans="1:10" hidden="1" x14ac:dyDescent="0.25">
      <c r="A55" s="81" t="str">
        <f>A21</f>
        <v>Mursten</v>
      </c>
      <c r="B55" s="73"/>
      <c r="C55" s="67"/>
      <c r="D55" s="13"/>
      <c r="E55" s="13"/>
      <c r="F55" s="13"/>
      <c r="G55" s="13"/>
      <c r="H55" s="13"/>
      <c r="I55" s="13"/>
      <c r="J55" s="13"/>
    </row>
    <row r="56" spans="1:10" hidden="1" x14ac:dyDescent="0.25">
      <c r="A56" s="82"/>
      <c r="B56" s="75"/>
      <c r="C56" s="67"/>
      <c r="D56" s="13"/>
      <c r="E56" s="13"/>
      <c r="F56" s="13"/>
      <c r="G56" s="13"/>
      <c r="H56" s="13"/>
      <c r="I56" s="13"/>
      <c r="J56" s="13"/>
    </row>
    <row r="57" spans="1:10" hidden="1" x14ac:dyDescent="0.25">
      <c r="A57" s="82"/>
      <c r="B57" s="75"/>
      <c r="C57" s="67"/>
      <c r="D57" s="13"/>
      <c r="E57" s="13"/>
      <c r="F57" s="13"/>
      <c r="G57" s="13"/>
      <c r="H57" s="13"/>
      <c r="I57" s="13"/>
      <c r="J57" s="13"/>
    </row>
    <row r="58" spans="1:10" hidden="1" x14ac:dyDescent="0.25">
      <c r="A58" s="82" t="s">
        <v>210</v>
      </c>
      <c r="B58" s="75"/>
      <c r="C58" s="67"/>
      <c r="D58" s="13"/>
      <c r="E58" s="13"/>
      <c r="F58" s="13"/>
      <c r="G58" s="13"/>
      <c r="H58" s="13"/>
      <c r="I58" s="13"/>
      <c r="J58" s="13"/>
    </row>
    <row r="59" spans="1:10" ht="27.6" hidden="1" x14ac:dyDescent="0.25">
      <c r="A59" s="82" t="s">
        <v>87</v>
      </c>
      <c r="B59" s="75" t="s">
        <v>328</v>
      </c>
      <c r="C59" s="67"/>
      <c r="F59" s="13"/>
      <c r="G59" s="13"/>
      <c r="H59" s="13"/>
      <c r="I59" s="13"/>
      <c r="J59" s="13"/>
    </row>
    <row r="60" spans="1:10" ht="27.6" hidden="1" x14ac:dyDescent="0.25">
      <c r="A60" s="82" t="s">
        <v>37</v>
      </c>
      <c r="B60" s="75" t="s">
        <v>278</v>
      </c>
      <c r="C60" s="67"/>
      <c r="D60" s="13"/>
      <c r="E60" s="13"/>
      <c r="F60" s="13"/>
      <c r="G60" s="13"/>
      <c r="H60" s="13"/>
      <c r="I60" s="13"/>
      <c r="J60" s="13"/>
    </row>
    <row r="61" spans="1:10" ht="17.100000000000001" hidden="1" customHeight="1" x14ac:dyDescent="0.25">
      <c r="A61" s="82"/>
      <c r="B61" s="75"/>
      <c r="C61" s="67"/>
      <c r="D61" s="13"/>
      <c r="E61" s="13"/>
      <c r="F61" s="13"/>
      <c r="G61" s="13"/>
      <c r="H61" s="13"/>
      <c r="I61" s="13"/>
      <c r="J61" s="13"/>
    </row>
    <row r="62" spans="1:10" ht="17.100000000000001" hidden="1" customHeight="1" x14ac:dyDescent="0.25">
      <c r="A62" s="82"/>
      <c r="B62" s="75"/>
      <c r="C62" s="67"/>
      <c r="D62" s="13"/>
      <c r="E62" s="13"/>
      <c r="F62" s="13"/>
      <c r="G62" s="13"/>
      <c r="H62" s="13"/>
      <c r="I62" s="13"/>
      <c r="J62" s="13"/>
    </row>
    <row r="63" spans="1:10" ht="17.100000000000001" hidden="1" customHeight="1" x14ac:dyDescent="0.25">
      <c r="A63" s="82"/>
      <c r="B63" s="75"/>
      <c r="C63" s="67"/>
      <c r="D63" s="13"/>
      <c r="E63" s="13"/>
      <c r="F63" s="13"/>
      <c r="G63" s="13"/>
      <c r="H63" s="13"/>
      <c r="I63" s="13"/>
      <c r="J63" s="13"/>
    </row>
    <row r="64" spans="1:10" ht="17.100000000000001" hidden="1" customHeight="1" x14ac:dyDescent="0.25">
      <c r="A64" s="82"/>
      <c r="B64" s="75"/>
      <c r="C64" s="67"/>
      <c r="D64" s="13"/>
      <c r="E64" s="13"/>
      <c r="F64" s="13"/>
      <c r="G64" s="13"/>
      <c r="H64" s="13"/>
      <c r="I64" s="13"/>
      <c r="J64" s="13"/>
    </row>
    <row r="65" spans="1:10" ht="17.100000000000001" hidden="1" customHeight="1" x14ac:dyDescent="0.25">
      <c r="A65" s="87"/>
      <c r="B65" s="78"/>
      <c r="C65" s="67"/>
      <c r="D65" s="13"/>
      <c r="E65" s="13"/>
      <c r="F65" s="13"/>
      <c r="G65" s="13"/>
      <c r="H65" s="13"/>
      <c r="I65" s="13"/>
      <c r="J65" s="13"/>
    </row>
    <row r="66" spans="1:10" ht="31.5" customHeight="1" x14ac:dyDescent="0.4">
      <c r="A66" s="335" t="s">
        <v>305</v>
      </c>
      <c r="B66" s="291"/>
      <c r="C66" s="67"/>
      <c r="D66" s="13"/>
      <c r="E66" s="13"/>
      <c r="F66" s="13"/>
      <c r="G66" s="13"/>
      <c r="H66" s="13"/>
      <c r="I66" s="13"/>
      <c r="J66" s="13"/>
    </row>
    <row r="67" spans="1:10" ht="24" customHeight="1" x14ac:dyDescent="0.25">
      <c r="A67" s="371" t="s">
        <v>294</v>
      </c>
      <c r="B67" s="371" t="s">
        <v>67</v>
      </c>
      <c r="C67" s="67"/>
      <c r="D67" s="13"/>
      <c r="E67" s="13"/>
      <c r="F67" s="13"/>
      <c r="G67" s="13"/>
      <c r="H67" s="13"/>
      <c r="I67" s="13"/>
      <c r="J67" s="13"/>
    </row>
    <row r="68" spans="1:10" ht="17.25" customHeight="1" x14ac:dyDescent="0.25">
      <c r="A68" s="88" t="s">
        <v>31</v>
      </c>
      <c r="B68" s="73"/>
      <c r="C68" s="67"/>
      <c r="D68" s="13"/>
      <c r="E68" s="13"/>
      <c r="F68" s="13"/>
      <c r="G68" s="13"/>
      <c r="H68" s="13"/>
      <c r="I68" s="13"/>
      <c r="J68" s="13"/>
    </row>
    <row r="69" spans="1:10" ht="33" customHeight="1" x14ac:dyDescent="0.25">
      <c r="A69" s="82" t="s">
        <v>268</v>
      </c>
      <c r="B69" s="89" t="s">
        <v>159</v>
      </c>
      <c r="C69" s="67"/>
      <c r="D69" s="13"/>
      <c r="E69" s="13"/>
      <c r="F69" s="13"/>
      <c r="G69" s="13"/>
      <c r="H69" s="13"/>
      <c r="I69" s="13"/>
      <c r="J69" s="13"/>
    </row>
    <row r="70" spans="1:10" ht="87.75" customHeight="1" x14ac:dyDescent="0.25">
      <c r="A70" s="82" t="s">
        <v>366</v>
      </c>
      <c r="B70" s="505" t="s">
        <v>376</v>
      </c>
      <c r="C70" s="67"/>
      <c r="D70" s="13"/>
      <c r="E70" s="13"/>
      <c r="F70" s="13"/>
      <c r="G70" s="13"/>
      <c r="H70" s="13"/>
      <c r="I70" s="13"/>
      <c r="J70" s="13"/>
    </row>
    <row r="71" spans="1:10" ht="55.2" x14ac:dyDescent="0.25">
      <c r="A71" s="82" t="s">
        <v>156</v>
      </c>
      <c r="B71" s="506" t="s">
        <v>374</v>
      </c>
      <c r="C71" s="67"/>
      <c r="D71" s="13"/>
      <c r="E71" s="13"/>
      <c r="F71" s="13"/>
      <c r="G71" s="13"/>
      <c r="H71" s="13"/>
      <c r="I71" s="13"/>
      <c r="J71" s="13"/>
    </row>
    <row r="72" spans="1:10" ht="55.2" x14ac:dyDescent="0.25">
      <c r="A72" s="82" t="s">
        <v>212</v>
      </c>
      <c r="B72" s="506" t="s">
        <v>375</v>
      </c>
      <c r="C72" s="67"/>
      <c r="D72" s="13"/>
      <c r="E72" s="13"/>
      <c r="F72" s="13"/>
      <c r="G72" s="13"/>
      <c r="H72" s="13"/>
      <c r="I72" s="13"/>
      <c r="J72" s="13"/>
    </row>
    <row r="73" spans="1:10" x14ac:dyDescent="0.25">
      <c r="A73" s="82"/>
      <c r="B73" s="86"/>
      <c r="C73" s="67"/>
      <c r="D73" s="13"/>
      <c r="E73" s="13"/>
      <c r="F73" s="13"/>
      <c r="G73" s="13"/>
      <c r="H73" s="13"/>
      <c r="I73" s="13"/>
      <c r="J73" s="13"/>
    </row>
    <row r="74" spans="1:10" ht="27.6" x14ac:dyDescent="0.25">
      <c r="A74" s="82" t="s">
        <v>269</v>
      </c>
      <c r="B74" s="89" t="s">
        <v>159</v>
      </c>
      <c r="C74" s="67"/>
      <c r="D74" s="13"/>
      <c r="E74" s="13"/>
      <c r="F74" s="13"/>
      <c r="G74" s="13"/>
      <c r="H74" s="13"/>
      <c r="I74" s="13"/>
      <c r="J74" s="13"/>
    </row>
    <row r="75" spans="1:10" x14ac:dyDescent="0.25">
      <c r="A75" s="82" t="s">
        <v>37</v>
      </c>
      <c r="B75" s="86"/>
      <c r="C75" s="67"/>
      <c r="D75" s="13"/>
      <c r="E75" s="13"/>
      <c r="F75" s="13"/>
      <c r="G75" s="13"/>
      <c r="H75" s="13"/>
      <c r="I75" s="13"/>
      <c r="J75" s="13"/>
    </row>
    <row r="76" spans="1:10" x14ac:dyDescent="0.25">
      <c r="A76" s="82" t="s">
        <v>156</v>
      </c>
      <c r="B76" s="86"/>
      <c r="C76" s="67"/>
      <c r="D76" s="13"/>
      <c r="E76" s="13"/>
      <c r="F76" s="13"/>
      <c r="G76" s="13"/>
      <c r="H76" s="13"/>
      <c r="I76" s="13"/>
      <c r="J76" s="13"/>
    </row>
    <row r="77" spans="1:10" x14ac:dyDescent="0.25">
      <c r="A77" s="82" t="s">
        <v>212</v>
      </c>
      <c r="B77" s="86"/>
      <c r="C77" s="67"/>
      <c r="D77" s="13"/>
      <c r="E77" s="13"/>
      <c r="F77" s="13"/>
      <c r="G77" s="13"/>
      <c r="H77" s="13"/>
      <c r="I77" s="13"/>
      <c r="J77" s="13"/>
    </row>
    <row r="78" spans="1:10" x14ac:dyDescent="0.25">
      <c r="A78" s="82"/>
      <c r="B78" s="86"/>
      <c r="C78" s="67"/>
      <c r="D78" s="13"/>
      <c r="E78" s="13"/>
      <c r="F78" s="13"/>
      <c r="G78" s="13"/>
      <c r="H78" s="13"/>
      <c r="I78" s="13"/>
      <c r="J78" s="13"/>
    </row>
    <row r="79" spans="1:10" ht="44.25" customHeight="1" x14ac:dyDescent="0.25">
      <c r="A79" s="82"/>
      <c r="B79" s="75"/>
      <c r="C79" s="67"/>
      <c r="D79" s="13"/>
      <c r="E79" s="13"/>
      <c r="F79" s="13"/>
      <c r="G79" s="13"/>
      <c r="H79" s="13"/>
      <c r="I79" s="13"/>
      <c r="J79" s="13"/>
    </row>
    <row r="80" spans="1:10" ht="27.6" x14ac:dyDescent="0.25">
      <c r="A80" s="82" t="s">
        <v>266</v>
      </c>
      <c r="B80" s="89" t="s">
        <v>157</v>
      </c>
      <c r="C80" s="67"/>
      <c r="D80" s="13"/>
      <c r="E80" s="13"/>
      <c r="F80" s="13"/>
      <c r="G80" s="13"/>
      <c r="H80" s="13"/>
      <c r="I80" s="13"/>
      <c r="J80" s="13"/>
    </row>
    <row r="81" spans="1:10" x14ac:dyDescent="0.25">
      <c r="A81" s="82"/>
      <c r="B81" s="75"/>
      <c r="C81" s="67"/>
      <c r="D81" s="13"/>
      <c r="E81" s="13"/>
      <c r="F81" s="13"/>
      <c r="G81" s="13"/>
      <c r="H81" s="13"/>
      <c r="I81" s="13"/>
      <c r="J81" s="13"/>
    </row>
    <row r="82" spans="1:10" ht="41.4" x14ac:dyDescent="0.25">
      <c r="A82" s="90" t="s">
        <v>37</v>
      </c>
      <c r="B82" s="75" t="s">
        <v>377</v>
      </c>
      <c r="C82" s="67"/>
      <c r="D82" s="13"/>
      <c r="E82" s="13"/>
      <c r="F82" s="13"/>
      <c r="G82" s="13"/>
      <c r="H82" s="13"/>
      <c r="I82" s="13"/>
      <c r="J82" s="13"/>
    </row>
    <row r="83" spans="1:10" ht="41.4" x14ac:dyDescent="0.25">
      <c r="A83" s="82" t="s">
        <v>156</v>
      </c>
      <c r="B83" s="75" t="s">
        <v>377</v>
      </c>
      <c r="C83" s="67"/>
      <c r="D83" s="13"/>
      <c r="E83" s="13"/>
      <c r="F83" s="13"/>
      <c r="G83" s="13"/>
      <c r="H83" s="13"/>
      <c r="I83" s="13"/>
      <c r="J83" s="13"/>
    </row>
    <row r="84" spans="1:10" ht="41.4" x14ac:dyDescent="0.25">
      <c r="A84" s="82" t="s">
        <v>212</v>
      </c>
      <c r="B84" s="75" t="s">
        <v>377</v>
      </c>
      <c r="C84" s="67"/>
      <c r="D84" s="13"/>
      <c r="E84" s="13"/>
      <c r="F84" s="13"/>
      <c r="G84" s="13"/>
      <c r="H84" s="13"/>
      <c r="I84" s="13"/>
      <c r="J84" s="13"/>
    </row>
    <row r="85" spans="1:10" x14ac:dyDescent="0.25">
      <c r="A85" s="82"/>
      <c r="B85" s="75"/>
      <c r="C85" s="67"/>
      <c r="D85" s="13"/>
      <c r="E85" s="13"/>
      <c r="F85" s="13"/>
      <c r="G85" s="13"/>
      <c r="H85" s="13"/>
      <c r="I85" s="13"/>
      <c r="J85" s="13"/>
    </row>
    <row r="86" spans="1:10" ht="27.6" x14ac:dyDescent="0.25">
      <c r="A86" s="82" t="s">
        <v>270</v>
      </c>
      <c r="B86" s="89" t="s">
        <v>157</v>
      </c>
      <c r="C86" s="67"/>
      <c r="D86" s="13"/>
      <c r="E86" s="13"/>
      <c r="F86" s="13"/>
      <c r="G86" s="13"/>
      <c r="H86" s="13"/>
      <c r="I86" s="13"/>
      <c r="J86" s="13"/>
    </row>
    <row r="87" spans="1:10" x14ac:dyDescent="0.25">
      <c r="A87" s="82"/>
      <c r="B87" s="75"/>
      <c r="C87" s="67"/>
      <c r="D87" s="13"/>
      <c r="E87" s="13"/>
      <c r="F87" s="13"/>
      <c r="G87" s="13"/>
      <c r="H87" s="13"/>
      <c r="I87" s="13"/>
      <c r="J87" s="13"/>
    </row>
    <row r="88" spans="1:10" ht="69" x14ac:dyDescent="0.25">
      <c r="A88" s="90" t="s">
        <v>37</v>
      </c>
      <c r="B88" s="75" t="s">
        <v>378</v>
      </c>
      <c r="C88" s="67"/>
      <c r="D88" s="13"/>
      <c r="E88" s="13"/>
      <c r="F88" s="13"/>
      <c r="G88" s="13"/>
      <c r="H88" s="13"/>
      <c r="I88" s="13"/>
      <c r="J88" s="13"/>
    </row>
    <row r="89" spans="1:10" ht="69" x14ac:dyDescent="0.25">
      <c r="A89" s="82" t="s">
        <v>156</v>
      </c>
      <c r="B89" s="75" t="s">
        <v>378</v>
      </c>
      <c r="C89" s="67"/>
      <c r="D89" s="13"/>
      <c r="E89" s="13"/>
      <c r="F89" s="13"/>
      <c r="G89" s="13"/>
      <c r="H89" s="13"/>
      <c r="I89" s="13"/>
      <c r="J89" s="13"/>
    </row>
    <row r="90" spans="1:10" ht="69" x14ac:dyDescent="0.25">
      <c r="A90" s="82" t="s">
        <v>212</v>
      </c>
      <c r="B90" s="75" t="s">
        <v>378</v>
      </c>
      <c r="C90" s="67"/>
      <c r="D90" s="13"/>
      <c r="E90" s="13"/>
      <c r="F90" s="13"/>
      <c r="G90" s="13"/>
      <c r="H90" s="13"/>
      <c r="I90" s="13"/>
      <c r="J90" s="13"/>
    </row>
    <row r="91" spans="1:10" x14ac:dyDescent="0.25">
      <c r="A91" s="82"/>
      <c r="B91" s="86"/>
      <c r="C91" s="67"/>
      <c r="D91" s="13"/>
      <c r="E91" s="13"/>
      <c r="F91" s="13"/>
      <c r="G91" s="13"/>
      <c r="H91" s="13"/>
      <c r="I91" s="13"/>
      <c r="J91" s="13"/>
    </row>
    <row r="92" spans="1:10" x14ac:dyDescent="0.25">
      <c r="A92" s="82"/>
      <c r="B92" s="86"/>
      <c r="C92" s="67"/>
      <c r="D92" s="13"/>
      <c r="E92" s="13"/>
      <c r="F92" s="13"/>
      <c r="G92" s="13"/>
      <c r="H92" s="13"/>
      <c r="I92" s="13"/>
      <c r="J92" s="13"/>
    </row>
    <row r="93" spans="1:10" ht="27.6" x14ac:dyDescent="0.25">
      <c r="A93" s="82" t="s">
        <v>266</v>
      </c>
      <c r="B93" s="91" t="s">
        <v>162</v>
      </c>
      <c r="C93" s="67"/>
      <c r="D93" s="13"/>
      <c r="E93" s="13"/>
      <c r="F93" s="13"/>
      <c r="G93" s="13"/>
      <c r="H93" s="13"/>
      <c r="I93" s="13"/>
      <c r="J93" s="13"/>
    </row>
    <row r="94" spans="1:10" x14ac:dyDescent="0.25">
      <c r="A94" s="82"/>
      <c r="B94" s="86"/>
      <c r="C94" s="67"/>
      <c r="D94" s="13"/>
      <c r="E94" s="13"/>
      <c r="F94" s="13"/>
      <c r="G94" s="13"/>
      <c r="H94" s="13"/>
      <c r="I94" s="13"/>
      <c r="J94" s="13"/>
    </row>
    <row r="95" spans="1:10" ht="27.6" x14ac:dyDescent="0.25">
      <c r="A95" s="90" t="s">
        <v>37</v>
      </c>
      <c r="B95" s="86" t="s">
        <v>379</v>
      </c>
      <c r="C95" s="67"/>
      <c r="D95" s="13"/>
      <c r="E95" s="13"/>
      <c r="F95" s="13"/>
      <c r="G95" s="13"/>
      <c r="H95" s="13"/>
      <c r="I95" s="13"/>
      <c r="J95" s="13"/>
    </row>
    <row r="96" spans="1:10" ht="27.6" x14ac:dyDescent="0.25">
      <c r="A96" s="82" t="s">
        <v>156</v>
      </c>
      <c r="B96" s="86" t="s">
        <v>379</v>
      </c>
      <c r="C96" s="67"/>
      <c r="D96" s="13"/>
      <c r="E96" s="13"/>
      <c r="F96" s="13"/>
      <c r="G96" s="13"/>
      <c r="H96" s="13"/>
      <c r="I96" s="13"/>
      <c r="J96" s="13"/>
    </row>
    <row r="97" spans="1:23" ht="27.6" x14ac:dyDescent="0.25">
      <c r="A97" s="82" t="s">
        <v>212</v>
      </c>
      <c r="B97" s="86" t="s">
        <v>379</v>
      </c>
      <c r="C97" s="67"/>
      <c r="D97" s="13"/>
      <c r="E97" s="13"/>
      <c r="F97" s="13"/>
      <c r="G97" s="13"/>
      <c r="H97" s="13"/>
      <c r="I97" s="13"/>
      <c r="J97" s="13"/>
    </row>
    <row r="98" spans="1:23" x14ac:dyDescent="0.25">
      <c r="A98" s="82"/>
      <c r="B98" s="86"/>
      <c r="C98" s="67"/>
      <c r="D98" s="13"/>
      <c r="E98" s="13"/>
      <c r="F98" s="13"/>
      <c r="G98" s="13"/>
      <c r="H98" s="13"/>
      <c r="I98" s="13"/>
      <c r="J98" s="13"/>
    </row>
    <row r="99" spans="1:23" ht="27.6" x14ac:dyDescent="0.25">
      <c r="A99" s="82" t="s">
        <v>267</v>
      </c>
      <c r="B99" s="91" t="s">
        <v>162</v>
      </c>
      <c r="C99" s="67"/>
      <c r="D99" s="13"/>
      <c r="E99" s="13"/>
      <c r="F99" s="13"/>
      <c r="G99" s="13"/>
      <c r="H99" s="13"/>
      <c r="I99" s="13"/>
      <c r="J99" s="13"/>
    </row>
    <row r="100" spans="1:23" x14ac:dyDescent="0.25">
      <c r="A100" s="82"/>
      <c r="B100" s="86"/>
      <c r="C100" s="67"/>
      <c r="D100" s="13"/>
      <c r="E100" s="13"/>
      <c r="F100" s="13"/>
      <c r="G100" s="13"/>
      <c r="H100" s="13"/>
      <c r="I100" s="13"/>
      <c r="J100" s="13"/>
    </row>
    <row r="101" spans="1:23" ht="55.2" x14ac:dyDescent="0.25">
      <c r="A101" s="90" t="s">
        <v>37</v>
      </c>
      <c r="B101" s="75" t="s">
        <v>380</v>
      </c>
      <c r="C101" s="67"/>
      <c r="D101" s="13"/>
      <c r="E101" s="13"/>
      <c r="F101" s="13"/>
      <c r="G101" s="13"/>
      <c r="H101" s="13"/>
      <c r="I101" s="13"/>
      <c r="J101" s="13"/>
    </row>
    <row r="102" spans="1:23" ht="55.2" x14ac:dyDescent="0.25">
      <c r="A102" s="82" t="s">
        <v>156</v>
      </c>
      <c r="B102" s="75" t="s">
        <v>380</v>
      </c>
      <c r="C102" s="67"/>
      <c r="D102" s="13"/>
      <c r="E102" s="13"/>
      <c r="F102" s="13"/>
      <c r="G102" s="13"/>
      <c r="H102" s="13"/>
      <c r="I102" s="13"/>
      <c r="J102" s="13"/>
    </row>
    <row r="103" spans="1:23" ht="55.2" x14ac:dyDescent="0.25">
      <c r="A103" s="82" t="s">
        <v>212</v>
      </c>
      <c r="B103" s="75" t="s">
        <v>380</v>
      </c>
      <c r="C103" s="67"/>
      <c r="D103" s="13"/>
      <c r="E103" s="13"/>
      <c r="F103" s="13"/>
      <c r="G103" s="13"/>
      <c r="H103" s="13"/>
      <c r="I103" s="13"/>
      <c r="J103" s="13"/>
    </row>
    <row r="104" spans="1:23" ht="17.399999999999999" x14ac:dyDescent="0.25">
      <c r="A104" s="82"/>
      <c r="B104" s="86"/>
      <c r="C104" s="67"/>
      <c r="D104" s="13"/>
      <c r="E104" s="13"/>
      <c r="F104" s="13"/>
      <c r="G104" s="13"/>
      <c r="H104" s="13"/>
      <c r="I104" s="13"/>
      <c r="J104" s="13"/>
      <c r="V104" s="92"/>
      <c r="W104" s="92"/>
    </row>
    <row r="105" spans="1:23" ht="17.399999999999999" x14ac:dyDescent="0.25">
      <c r="A105" s="87"/>
      <c r="B105" s="78"/>
      <c r="C105" s="67"/>
      <c r="D105" s="13"/>
      <c r="E105" s="13"/>
      <c r="F105" s="13"/>
      <c r="G105" s="13"/>
      <c r="H105" s="13"/>
      <c r="I105" s="13"/>
      <c r="J105" s="13"/>
      <c r="V105" s="92"/>
      <c r="W105" s="92"/>
    </row>
    <row r="106" spans="1:23" ht="17.399999999999999" x14ac:dyDescent="0.25">
      <c r="A106" s="88" t="s">
        <v>105</v>
      </c>
      <c r="B106" s="73"/>
      <c r="C106" s="67"/>
      <c r="D106" s="13"/>
      <c r="E106" s="13"/>
      <c r="F106" s="13"/>
      <c r="G106" s="13"/>
      <c r="H106" s="13"/>
      <c r="I106" s="13"/>
      <c r="J106" s="13"/>
      <c r="V106" s="92"/>
      <c r="W106" s="92"/>
    </row>
    <row r="107" spans="1:23" ht="17.399999999999999" x14ac:dyDescent="0.25">
      <c r="A107" s="82"/>
      <c r="B107" s="75"/>
      <c r="C107" s="67"/>
      <c r="D107" s="13"/>
      <c r="E107" s="13"/>
      <c r="F107" s="13"/>
      <c r="G107" s="13"/>
      <c r="H107" s="13"/>
      <c r="I107" s="13"/>
      <c r="J107" s="13"/>
      <c r="V107" s="92"/>
      <c r="W107" s="92"/>
    </row>
    <row r="108" spans="1:23" ht="58.5" customHeight="1" x14ac:dyDescent="0.25">
      <c r="A108" s="82" t="s">
        <v>213</v>
      </c>
      <c r="B108" s="75" t="s">
        <v>381</v>
      </c>
      <c r="C108" s="67"/>
      <c r="D108" s="13"/>
      <c r="E108" s="13"/>
      <c r="F108" s="13"/>
      <c r="G108" s="13"/>
      <c r="H108" s="13"/>
      <c r="I108" s="13"/>
      <c r="J108" s="13"/>
      <c r="V108" s="92"/>
      <c r="W108" s="92"/>
    </row>
    <row r="109" spans="1:23" ht="41.4" x14ac:dyDescent="0.25">
      <c r="A109" s="82" t="s">
        <v>214</v>
      </c>
      <c r="B109" s="75" t="s">
        <v>382</v>
      </c>
      <c r="C109" s="67"/>
      <c r="D109" s="13"/>
      <c r="E109" s="13"/>
      <c r="F109" s="13"/>
      <c r="G109" s="13"/>
      <c r="H109" s="13"/>
      <c r="I109" s="13"/>
      <c r="J109" s="13"/>
      <c r="V109" s="92"/>
      <c r="W109" s="92"/>
    </row>
    <row r="110" spans="1:23" ht="17.399999999999999" x14ac:dyDescent="0.25">
      <c r="A110" s="82"/>
      <c r="B110" s="75"/>
      <c r="C110" s="67"/>
      <c r="D110" s="13"/>
      <c r="E110" s="13"/>
      <c r="F110" s="13"/>
      <c r="G110" s="13"/>
      <c r="H110" s="13"/>
      <c r="I110" s="13"/>
      <c r="J110" s="13"/>
      <c r="V110" s="92"/>
      <c r="W110" s="92"/>
    </row>
    <row r="111" spans="1:23" ht="96.6" x14ac:dyDescent="0.25">
      <c r="A111" s="82" t="s">
        <v>324</v>
      </c>
      <c r="B111" s="75" t="s">
        <v>383</v>
      </c>
      <c r="C111" s="67"/>
      <c r="D111" s="13"/>
      <c r="E111" s="13"/>
      <c r="F111" s="13"/>
      <c r="G111" s="13"/>
      <c r="H111" s="13"/>
      <c r="I111" s="13"/>
      <c r="J111" s="13"/>
      <c r="V111" s="92"/>
      <c r="W111" s="92"/>
    </row>
    <row r="112" spans="1:23" ht="17.399999999999999" x14ac:dyDescent="0.25">
      <c r="A112" s="82"/>
      <c r="B112" s="75"/>
      <c r="C112" s="67"/>
      <c r="D112" s="13"/>
      <c r="E112" s="13"/>
      <c r="F112" s="13"/>
      <c r="G112" s="13"/>
      <c r="H112" s="13"/>
      <c r="I112" s="13"/>
      <c r="J112" s="13"/>
      <c r="V112" s="92"/>
      <c r="W112" s="92"/>
    </row>
    <row r="113" spans="1:23" ht="17.399999999999999" x14ac:dyDescent="0.25">
      <c r="A113" s="82"/>
      <c r="B113" s="75"/>
      <c r="C113" s="67"/>
      <c r="D113" s="13"/>
      <c r="E113" s="13"/>
      <c r="F113" s="13"/>
      <c r="G113" s="13"/>
      <c r="H113" s="13"/>
      <c r="I113" s="13"/>
      <c r="J113" s="13"/>
      <c r="V113" s="92"/>
      <c r="W113" s="92"/>
    </row>
    <row r="114" spans="1:23" ht="17.399999999999999" x14ac:dyDescent="0.25">
      <c r="A114" s="82"/>
      <c r="B114" s="75"/>
      <c r="C114" s="67"/>
      <c r="D114" s="13"/>
      <c r="E114" s="13"/>
      <c r="F114" s="13"/>
      <c r="G114" s="13"/>
      <c r="H114" s="13"/>
      <c r="I114" s="13"/>
      <c r="J114" s="13"/>
      <c r="V114" s="92"/>
      <c r="W114" s="92"/>
    </row>
    <row r="115" spans="1:23" ht="17.399999999999999" x14ac:dyDescent="0.25">
      <c r="A115" s="82"/>
      <c r="B115" s="75"/>
      <c r="C115" s="67"/>
      <c r="D115" s="13"/>
      <c r="E115" s="13"/>
      <c r="F115" s="13"/>
      <c r="G115" s="13"/>
      <c r="H115" s="13"/>
      <c r="I115" s="13"/>
      <c r="J115" s="13"/>
      <c r="V115" s="92"/>
      <c r="W115" s="92"/>
    </row>
    <row r="116" spans="1:23" ht="17.399999999999999" x14ac:dyDescent="0.25">
      <c r="A116" s="87"/>
      <c r="B116" s="78"/>
      <c r="C116" s="67"/>
      <c r="D116" s="13"/>
      <c r="E116" s="13"/>
      <c r="F116" s="13"/>
      <c r="G116" s="13"/>
      <c r="H116" s="13"/>
      <c r="I116" s="13"/>
      <c r="J116" s="13"/>
      <c r="V116" s="92"/>
      <c r="W116" s="92"/>
    </row>
    <row r="117" spans="1:23" ht="17.399999999999999" x14ac:dyDescent="0.25">
      <c r="A117" s="88" t="s">
        <v>115</v>
      </c>
      <c r="B117" s="73"/>
      <c r="C117" s="67"/>
      <c r="D117" s="13"/>
      <c r="E117" s="13"/>
      <c r="F117" s="13"/>
      <c r="G117" s="13"/>
      <c r="H117" s="13"/>
      <c r="I117" s="13"/>
      <c r="J117" s="13"/>
      <c r="V117" s="92"/>
      <c r="W117" s="92"/>
    </row>
    <row r="118" spans="1:23" ht="44.25" customHeight="1" x14ac:dyDescent="0.25">
      <c r="A118" s="82" t="s">
        <v>358</v>
      </c>
      <c r="B118" s="75" t="s">
        <v>359</v>
      </c>
      <c r="C118" s="67"/>
      <c r="D118" s="13"/>
      <c r="E118" s="13"/>
      <c r="F118" s="13"/>
      <c r="G118" s="13"/>
      <c r="H118" s="13"/>
      <c r="I118" s="13"/>
      <c r="J118" s="13"/>
      <c r="V118" s="92"/>
      <c r="W118" s="92"/>
    </row>
    <row r="119" spans="1:23" ht="44.25" customHeight="1" x14ac:dyDescent="0.25">
      <c r="A119" s="82" t="s">
        <v>360</v>
      </c>
      <c r="B119" s="75" t="s">
        <v>361</v>
      </c>
      <c r="C119" s="67"/>
      <c r="D119" s="13"/>
      <c r="E119" s="13"/>
      <c r="F119" s="13"/>
      <c r="G119" s="13"/>
      <c r="H119" s="13"/>
      <c r="I119" s="13"/>
      <c r="J119" s="13"/>
      <c r="V119" s="92"/>
      <c r="W119" s="92"/>
    </row>
    <row r="120" spans="1:23" ht="42.75" customHeight="1" x14ac:dyDescent="0.25">
      <c r="A120" s="82" t="s">
        <v>215</v>
      </c>
      <c r="B120" s="86" t="s">
        <v>221</v>
      </c>
      <c r="C120" s="67"/>
      <c r="D120" s="13"/>
      <c r="E120" s="13"/>
      <c r="F120" s="13"/>
      <c r="G120" s="13"/>
      <c r="H120" s="13"/>
      <c r="I120" s="13"/>
      <c r="J120" s="13"/>
      <c r="V120" s="92"/>
      <c r="W120" s="92"/>
    </row>
    <row r="121" spans="1:23" ht="42.75" customHeight="1" x14ac:dyDescent="0.25">
      <c r="A121" s="82" t="s">
        <v>362</v>
      </c>
      <c r="B121" s="75" t="s">
        <v>363</v>
      </c>
      <c r="C121" s="67"/>
      <c r="D121" s="13"/>
      <c r="E121" s="13"/>
      <c r="F121" s="13"/>
      <c r="G121" s="13"/>
      <c r="H121" s="13"/>
      <c r="I121" s="13"/>
      <c r="J121" s="13"/>
      <c r="V121" s="92"/>
      <c r="W121" s="92"/>
    </row>
    <row r="122" spans="1:23" ht="27.6" x14ac:dyDescent="0.25">
      <c r="A122" s="77" t="s">
        <v>367</v>
      </c>
      <c r="B122" s="78" t="s">
        <v>368</v>
      </c>
      <c r="C122" s="67"/>
      <c r="D122" s="13"/>
      <c r="E122" s="13"/>
      <c r="F122" s="13"/>
      <c r="G122" s="13"/>
      <c r="H122" s="13"/>
      <c r="I122" s="13"/>
      <c r="J122" s="13"/>
      <c r="V122" s="92"/>
      <c r="W122" s="92"/>
    </row>
    <row r="123" spans="1:23" ht="17.399999999999999" x14ac:dyDescent="0.25">
      <c r="A123" s="67"/>
      <c r="B123" s="67"/>
      <c r="C123" s="67"/>
      <c r="D123" s="13"/>
      <c r="E123" s="13"/>
      <c r="F123" s="13"/>
      <c r="G123" s="13"/>
      <c r="H123" s="13"/>
      <c r="I123" s="13"/>
      <c r="J123" s="13"/>
      <c r="V123" s="92"/>
      <c r="W123" s="92"/>
    </row>
    <row r="124" spans="1:23" ht="17.399999999999999" x14ac:dyDescent="0.25">
      <c r="A124" s="67"/>
      <c r="B124" s="67"/>
      <c r="C124" s="67"/>
      <c r="D124" s="13"/>
      <c r="E124" s="13"/>
      <c r="F124" s="13"/>
      <c r="G124" s="13"/>
      <c r="H124" s="13"/>
      <c r="I124" s="13"/>
      <c r="J124" s="13"/>
      <c r="V124" s="92"/>
      <c r="W124" s="92"/>
    </row>
    <row r="125" spans="1:23" ht="17.399999999999999" x14ac:dyDescent="0.25">
      <c r="A125" s="67"/>
      <c r="B125" s="67"/>
      <c r="C125" s="67"/>
      <c r="D125" s="13"/>
      <c r="E125" s="13"/>
      <c r="F125" s="13"/>
      <c r="G125" s="13"/>
      <c r="H125" s="13"/>
      <c r="I125" s="13"/>
      <c r="J125" s="13"/>
      <c r="V125" s="92"/>
      <c r="W125" s="92"/>
    </row>
    <row r="126" spans="1:23" ht="15" x14ac:dyDescent="0.25">
      <c r="A126" s="67"/>
      <c r="B126" s="67"/>
      <c r="C126" s="67"/>
      <c r="D126" s="13"/>
      <c r="E126" s="13"/>
      <c r="F126" s="13"/>
      <c r="G126" s="13"/>
      <c r="H126" s="13"/>
      <c r="I126" s="13"/>
      <c r="J126" s="13"/>
      <c r="V126" s="93"/>
      <c r="W126" s="424" t="s">
        <v>93</v>
      </c>
    </row>
    <row r="127" spans="1:23" ht="42.75" customHeight="1" x14ac:dyDescent="0.25">
      <c r="A127" s="294" t="s">
        <v>77</v>
      </c>
      <c r="B127" s="94"/>
      <c r="C127" s="94"/>
      <c r="D127" s="95"/>
      <c r="E127" s="95"/>
      <c r="F127" s="95"/>
      <c r="G127" s="95"/>
      <c r="H127" s="95"/>
      <c r="I127" s="95"/>
      <c r="J127" s="95"/>
      <c r="V127" s="93"/>
    </row>
    <row r="128" spans="1:23" ht="13.5" customHeight="1" x14ac:dyDescent="0.25">
      <c r="A128" s="67" t="s">
        <v>46</v>
      </c>
      <c r="B128" s="67"/>
      <c r="C128" s="67"/>
      <c r="D128" s="13"/>
      <c r="E128" s="13"/>
      <c r="F128" s="13"/>
      <c r="G128" s="13"/>
      <c r="H128" s="13"/>
      <c r="I128" s="13"/>
      <c r="J128" s="13"/>
      <c r="V128" s="93"/>
    </row>
    <row r="129" spans="1:22" ht="2.1" hidden="1" customHeight="1" x14ac:dyDescent="0.4">
      <c r="A129" s="336" t="s">
        <v>130</v>
      </c>
      <c r="B129" s="332"/>
      <c r="C129" s="332"/>
      <c r="D129" s="333"/>
      <c r="E129" s="333"/>
      <c r="F129" s="333"/>
      <c r="G129" s="334"/>
      <c r="H129" s="13"/>
      <c r="I129" s="13"/>
      <c r="J129" s="13"/>
      <c r="V129" s="93"/>
    </row>
    <row r="130" spans="1:22" ht="15" hidden="1" x14ac:dyDescent="0.25">
      <c r="A130" s="276" t="s">
        <v>30</v>
      </c>
      <c r="B130" s="276" t="s">
        <v>295</v>
      </c>
      <c r="C130" s="277" t="s">
        <v>299</v>
      </c>
      <c r="D130" s="283"/>
      <c r="E130" s="284"/>
      <c r="F130" s="283"/>
      <c r="G130" s="278" t="s">
        <v>297</v>
      </c>
      <c r="H130" s="13"/>
      <c r="I130" s="13"/>
      <c r="J130" s="13"/>
      <c r="V130" s="93"/>
    </row>
    <row r="131" spans="1:22" ht="39.6" hidden="1" customHeight="1" x14ac:dyDescent="0.25">
      <c r="A131" s="262" t="s">
        <v>131</v>
      </c>
      <c r="B131" s="262" t="str">
        <f>Cirkuleringsgreb!C6</f>
        <v>Genbrug</v>
      </c>
      <c r="C131" s="96" t="s">
        <v>102</v>
      </c>
      <c r="D131" s="295" t="s">
        <v>208</v>
      </c>
      <c r="E131" s="98"/>
      <c r="F131" s="97"/>
      <c r="G131" s="262" t="s">
        <v>320</v>
      </c>
      <c r="H131" s="13"/>
      <c r="I131" s="13"/>
      <c r="J131" s="13"/>
      <c r="V131" s="93"/>
    </row>
    <row r="132" spans="1:22" hidden="1" x14ac:dyDescent="0.25">
      <c r="A132" s="121"/>
      <c r="B132" s="121" t="str">
        <f>Cirkuleringsgreb!C7</f>
        <v>Upcycling</v>
      </c>
      <c r="C132" s="74" t="s">
        <v>194</v>
      </c>
      <c r="D132" s="100"/>
      <c r="E132" s="101"/>
      <c r="F132" s="100"/>
      <c r="G132" s="122"/>
      <c r="H132" s="13"/>
      <c r="I132" s="13"/>
      <c r="J132" s="13"/>
      <c r="V132" s="93"/>
    </row>
    <row r="133" spans="1:22" hidden="1" x14ac:dyDescent="0.25">
      <c r="A133" s="121"/>
      <c r="B133" s="121" t="str">
        <f>Cirkuleringsgreb!C8</f>
        <v>Downcycling</v>
      </c>
      <c r="C133" s="74" t="s">
        <v>207</v>
      </c>
      <c r="D133" s="100"/>
      <c r="E133" s="101"/>
      <c r="F133" s="100"/>
      <c r="G133" s="122"/>
      <c r="H133" s="13"/>
      <c r="I133" s="13"/>
      <c r="J133" s="13"/>
      <c r="V133" s="93"/>
    </row>
    <row r="134" spans="1:22" hidden="1" x14ac:dyDescent="0.25">
      <c r="A134" s="121"/>
      <c r="B134" s="121"/>
      <c r="C134" s="74"/>
      <c r="D134" s="100"/>
      <c r="E134" s="101"/>
      <c r="F134" s="100"/>
      <c r="G134" s="122"/>
      <c r="H134" s="13"/>
      <c r="I134" s="13"/>
      <c r="J134" s="13"/>
      <c r="V134" s="93"/>
    </row>
    <row r="135" spans="1:22" hidden="1" x14ac:dyDescent="0.25">
      <c r="A135" s="121"/>
      <c r="B135" s="121"/>
      <c r="C135" s="74"/>
      <c r="D135" s="100"/>
      <c r="E135" s="101"/>
      <c r="F135" s="100"/>
      <c r="G135" s="122"/>
      <c r="H135" s="13"/>
      <c r="I135" s="13"/>
      <c r="J135" s="13"/>
      <c r="V135" s="93"/>
    </row>
    <row r="136" spans="1:22" hidden="1" x14ac:dyDescent="0.25">
      <c r="A136" s="121"/>
      <c r="B136" s="121"/>
      <c r="C136" s="74"/>
      <c r="D136" s="100"/>
      <c r="E136" s="101"/>
      <c r="F136" s="100"/>
      <c r="G136" s="122"/>
      <c r="H136" s="13"/>
      <c r="I136" s="13"/>
      <c r="J136" s="13"/>
      <c r="V136" s="93"/>
    </row>
    <row r="137" spans="1:22" hidden="1" x14ac:dyDescent="0.25">
      <c r="A137" s="263"/>
      <c r="B137" s="263"/>
      <c r="C137" s="76"/>
      <c r="D137" s="103"/>
      <c r="E137" s="104"/>
      <c r="F137" s="103"/>
      <c r="G137" s="268"/>
      <c r="H137" s="13"/>
      <c r="I137" s="13"/>
      <c r="J137" s="13"/>
      <c r="V137" s="93"/>
    </row>
    <row r="138" spans="1:22" ht="15" hidden="1" x14ac:dyDescent="0.25">
      <c r="A138" s="276" t="s">
        <v>27</v>
      </c>
      <c r="B138" s="276" t="s">
        <v>295</v>
      </c>
      <c r="C138" s="277" t="s">
        <v>299</v>
      </c>
      <c r="D138" s="283"/>
      <c r="E138" s="284"/>
      <c r="F138" s="279"/>
      <c r="G138" s="278" t="s">
        <v>297</v>
      </c>
      <c r="H138" s="13"/>
      <c r="I138" s="13"/>
      <c r="J138" s="13"/>
      <c r="V138" s="93"/>
    </row>
    <row r="139" spans="1:22" hidden="1" x14ac:dyDescent="0.25">
      <c r="A139" s="264" t="s">
        <v>50</v>
      </c>
      <c r="B139" s="264"/>
      <c r="C139" s="252" t="s">
        <v>47</v>
      </c>
      <c r="D139" s="253" t="s">
        <v>48</v>
      </c>
      <c r="E139" s="254"/>
      <c r="F139" s="253"/>
      <c r="G139" s="125" t="s">
        <v>91</v>
      </c>
      <c r="H139" s="13"/>
      <c r="I139" s="13"/>
      <c r="J139" s="13"/>
      <c r="V139" s="93"/>
    </row>
    <row r="140" spans="1:22" ht="28.8" hidden="1" x14ac:dyDescent="0.3">
      <c r="A140" s="124"/>
      <c r="B140" s="124" t="str">
        <f>Cirkuleringsgreb!C6</f>
        <v>Genbrug</v>
      </c>
      <c r="C140" s="82">
        <v>2000</v>
      </c>
      <c r="D140" s="13" t="s">
        <v>49</v>
      </c>
      <c r="E140" s="109"/>
      <c r="F140" s="13"/>
      <c r="G140" s="275" t="s">
        <v>92</v>
      </c>
      <c r="H140" s="13"/>
      <c r="I140" s="13"/>
      <c r="J140" s="13"/>
      <c r="V140" s="93"/>
    </row>
    <row r="141" spans="1:22" hidden="1" x14ac:dyDescent="0.25">
      <c r="A141" s="124"/>
      <c r="B141" s="124" t="str">
        <f>Cirkuleringsgreb!C7</f>
        <v>Upcycling</v>
      </c>
      <c r="C141" s="82">
        <v>1990</v>
      </c>
      <c r="D141" s="13" t="s">
        <v>51</v>
      </c>
      <c r="E141" s="109"/>
      <c r="F141" s="13"/>
      <c r="G141" s="125"/>
      <c r="H141" s="13"/>
      <c r="I141" s="13"/>
      <c r="J141" s="13"/>
      <c r="V141" s="93"/>
    </row>
    <row r="142" spans="1:22" hidden="1" x14ac:dyDescent="0.25">
      <c r="A142" s="124"/>
      <c r="B142" s="124" t="str">
        <f>Cirkuleringsgreb!C8</f>
        <v>Downcycling</v>
      </c>
      <c r="C142" s="82">
        <v>1950</v>
      </c>
      <c r="D142" s="13">
        <v>1977</v>
      </c>
      <c r="E142" s="109"/>
      <c r="F142" s="272"/>
      <c r="G142" s="125"/>
      <c r="H142" s="13"/>
      <c r="I142" s="13"/>
      <c r="J142" s="13"/>
      <c r="V142" s="93"/>
    </row>
    <row r="143" spans="1:22" hidden="1" x14ac:dyDescent="0.25">
      <c r="A143" s="124" t="s">
        <v>53</v>
      </c>
      <c r="B143" s="124"/>
      <c r="C143" s="270"/>
      <c r="E143" s="109"/>
      <c r="F143" s="272"/>
      <c r="G143" s="125"/>
      <c r="H143" s="13"/>
      <c r="I143" s="13"/>
      <c r="J143" s="13"/>
      <c r="V143" s="93"/>
    </row>
    <row r="144" spans="1:22" ht="21" hidden="1" customHeight="1" x14ac:dyDescent="0.25">
      <c r="A144" s="124"/>
      <c r="B144" s="124"/>
      <c r="C144" s="82"/>
      <c r="D144" s="13"/>
      <c r="E144" s="109"/>
      <c r="F144" s="272"/>
      <c r="G144" s="125"/>
      <c r="H144" s="13"/>
      <c r="I144" s="13"/>
      <c r="J144" s="13"/>
      <c r="V144" s="93"/>
    </row>
    <row r="145" spans="1:22" hidden="1" x14ac:dyDescent="0.25">
      <c r="A145" s="124"/>
      <c r="B145" s="124"/>
      <c r="C145" s="82"/>
      <c r="D145" s="13"/>
      <c r="E145" s="109"/>
      <c r="F145" s="272"/>
      <c r="G145" s="125"/>
      <c r="H145" s="13"/>
      <c r="I145" s="13"/>
      <c r="J145" s="13"/>
      <c r="V145" s="93"/>
    </row>
    <row r="146" spans="1:22" hidden="1" x14ac:dyDescent="0.25">
      <c r="A146" s="124" t="s">
        <v>52</v>
      </c>
      <c r="B146" s="124"/>
      <c r="C146" s="82" t="s">
        <v>47</v>
      </c>
      <c r="D146" s="13" t="s">
        <v>48</v>
      </c>
      <c r="E146" s="109"/>
      <c r="F146" s="272"/>
      <c r="G146" s="125"/>
      <c r="H146" s="13"/>
      <c r="I146" s="13"/>
      <c r="J146" s="13"/>
      <c r="V146" s="93"/>
    </row>
    <row r="147" spans="1:22" hidden="1" x14ac:dyDescent="0.25">
      <c r="A147" s="124"/>
      <c r="B147" s="124" t="str">
        <f>B140</f>
        <v>Genbrug</v>
      </c>
      <c r="C147" s="82">
        <v>3</v>
      </c>
      <c r="D147" s="13"/>
      <c r="E147" s="109"/>
      <c r="F147" s="13"/>
      <c r="G147" s="125"/>
      <c r="H147" s="13"/>
      <c r="I147" s="13"/>
      <c r="J147" s="13"/>
      <c r="V147" s="93"/>
    </row>
    <row r="148" spans="1:22" hidden="1" x14ac:dyDescent="0.25">
      <c r="A148" s="124"/>
      <c r="B148" s="124" t="str">
        <f>B141</f>
        <v>Upcycling</v>
      </c>
      <c r="C148" s="82">
        <v>2</v>
      </c>
      <c r="D148" s="13">
        <v>3</v>
      </c>
      <c r="E148" s="109"/>
      <c r="F148" s="13"/>
      <c r="G148" s="125"/>
      <c r="H148" s="13"/>
      <c r="I148" s="13"/>
      <c r="J148" s="13"/>
      <c r="V148" s="93"/>
    </row>
    <row r="149" spans="1:22" hidden="1" x14ac:dyDescent="0.25">
      <c r="A149" s="124"/>
      <c r="B149" s="124" t="str">
        <f>B142</f>
        <v>Downcycling</v>
      </c>
      <c r="C149" s="82"/>
      <c r="D149" s="13"/>
      <c r="E149" s="109"/>
      <c r="F149" s="13"/>
      <c r="G149" s="125"/>
      <c r="H149" s="13"/>
      <c r="I149" s="13"/>
      <c r="J149" s="13"/>
      <c r="V149" s="93"/>
    </row>
    <row r="150" spans="1:22" hidden="1" x14ac:dyDescent="0.25">
      <c r="A150" s="124"/>
      <c r="B150" s="124"/>
      <c r="C150" s="82"/>
      <c r="D150" s="13"/>
      <c r="E150" s="109"/>
      <c r="F150" s="13"/>
      <c r="G150" s="125"/>
      <c r="H150" s="13"/>
      <c r="I150" s="13"/>
      <c r="J150" s="13"/>
      <c r="V150" s="93"/>
    </row>
    <row r="151" spans="1:22" hidden="1" x14ac:dyDescent="0.25">
      <c r="A151" s="127"/>
      <c r="B151" s="127"/>
      <c r="C151" s="87"/>
      <c r="D151" s="110"/>
      <c r="E151" s="111"/>
      <c r="F151" s="110"/>
      <c r="G151" s="125"/>
      <c r="H151" s="13"/>
      <c r="I151" s="13"/>
      <c r="J151" s="13"/>
      <c r="V151" s="93"/>
    </row>
    <row r="152" spans="1:22" ht="15" hidden="1" x14ac:dyDescent="0.25">
      <c r="A152" s="276" t="s">
        <v>0</v>
      </c>
      <c r="B152" s="280" t="s">
        <v>295</v>
      </c>
      <c r="C152" s="281" t="s">
        <v>299</v>
      </c>
      <c r="D152" s="283"/>
      <c r="E152" s="284"/>
      <c r="F152" s="283"/>
      <c r="G152" s="278" t="s">
        <v>297</v>
      </c>
      <c r="H152" s="13"/>
      <c r="I152" s="13"/>
      <c r="J152" s="13"/>
      <c r="V152" s="93"/>
    </row>
    <row r="153" spans="1:22" hidden="1" x14ac:dyDescent="0.25">
      <c r="A153" s="262"/>
      <c r="B153" s="262"/>
      <c r="C153" s="96"/>
      <c r="D153" s="97"/>
      <c r="E153" s="98"/>
      <c r="F153" s="97"/>
      <c r="G153" s="262" t="s">
        <v>320</v>
      </c>
      <c r="H153" s="13"/>
      <c r="I153" s="13"/>
      <c r="J153" s="13"/>
      <c r="V153" s="93"/>
    </row>
    <row r="154" spans="1:22" hidden="1" x14ac:dyDescent="0.25">
      <c r="A154" s="121" t="s">
        <v>85</v>
      </c>
      <c r="B154" s="121"/>
      <c r="C154" s="74">
        <v>1960</v>
      </c>
      <c r="D154" s="100"/>
      <c r="E154" s="101"/>
      <c r="F154" s="100"/>
      <c r="G154" s="122"/>
      <c r="H154" s="13"/>
      <c r="I154" s="13"/>
      <c r="J154" s="13"/>
      <c r="V154" s="93"/>
    </row>
    <row r="155" spans="1:22" hidden="1" x14ac:dyDescent="0.25">
      <c r="A155" s="121"/>
      <c r="B155" s="121"/>
      <c r="C155" s="74" t="s">
        <v>60</v>
      </c>
      <c r="D155" s="100"/>
      <c r="E155" s="101"/>
      <c r="F155" s="100"/>
      <c r="G155" s="122"/>
      <c r="H155" s="13"/>
      <c r="I155" s="13"/>
      <c r="J155" s="13"/>
      <c r="V155" s="93"/>
    </row>
    <row r="156" spans="1:22" hidden="1" x14ac:dyDescent="0.25">
      <c r="A156" s="121"/>
      <c r="B156" s="121" t="str">
        <f>B131</f>
        <v>Genbrug</v>
      </c>
      <c r="C156" s="74" t="s">
        <v>102</v>
      </c>
      <c r="D156" s="100"/>
      <c r="E156" s="101"/>
      <c r="F156" s="100"/>
      <c r="G156" s="122"/>
      <c r="H156" s="13"/>
      <c r="I156" s="13"/>
      <c r="J156" s="13"/>
      <c r="V156" s="93"/>
    </row>
    <row r="157" spans="1:22" hidden="1" x14ac:dyDescent="0.25">
      <c r="A157" s="121"/>
      <c r="B157" s="121" t="str">
        <f>B132</f>
        <v>Upcycling</v>
      </c>
      <c r="C157" s="74"/>
      <c r="D157" s="100"/>
      <c r="E157" s="101"/>
      <c r="F157" s="100"/>
      <c r="G157" s="122"/>
      <c r="H157" s="13"/>
      <c r="I157" s="13"/>
      <c r="J157" s="13"/>
      <c r="V157" s="93"/>
    </row>
    <row r="158" spans="1:22" hidden="1" x14ac:dyDescent="0.25">
      <c r="A158" s="121"/>
      <c r="B158" s="121" t="str">
        <f>B133</f>
        <v>Downcycling</v>
      </c>
      <c r="C158" s="74"/>
      <c r="D158" s="100"/>
      <c r="E158" s="101"/>
      <c r="F158" s="100"/>
      <c r="G158" s="122"/>
      <c r="H158" s="13"/>
      <c r="I158" s="13"/>
      <c r="J158" s="13"/>
      <c r="V158" s="93"/>
    </row>
    <row r="159" spans="1:22" hidden="1" x14ac:dyDescent="0.25">
      <c r="A159" s="121"/>
      <c r="B159" s="121"/>
      <c r="C159" s="74"/>
      <c r="D159" s="100"/>
      <c r="E159" s="101"/>
      <c r="F159" s="100"/>
      <c r="G159" s="122"/>
      <c r="H159" s="13"/>
      <c r="I159" s="13"/>
      <c r="J159" s="13"/>
      <c r="V159" s="93"/>
    </row>
    <row r="160" spans="1:22" hidden="1" x14ac:dyDescent="0.25">
      <c r="A160" s="121"/>
      <c r="B160" s="121"/>
      <c r="C160" s="74"/>
      <c r="D160" s="100"/>
      <c r="E160" s="101"/>
      <c r="F160" s="100"/>
      <c r="G160" s="122"/>
      <c r="H160" s="13"/>
      <c r="I160" s="13"/>
      <c r="J160" s="13"/>
      <c r="V160" s="93"/>
    </row>
    <row r="161" spans="1:22" hidden="1" x14ac:dyDescent="0.25">
      <c r="A161" s="121"/>
      <c r="B161" s="121"/>
      <c r="C161" s="74"/>
      <c r="D161" s="100"/>
      <c r="E161" s="101"/>
      <c r="F161" s="100"/>
      <c r="G161" s="122"/>
      <c r="H161" s="13"/>
      <c r="I161" s="13"/>
      <c r="J161" s="13"/>
      <c r="V161" s="93"/>
    </row>
    <row r="162" spans="1:22" ht="21" customHeight="1" x14ac:dyDescent="0.4">
      <c r="A162" s="335" t="s">
        <v>305</v>
      </c>
      <c r="B162" s="291"/>
      <c r="C162" s="291"/>
      <c r="D162" s="292"/>
      <c r="E162" s="292"/>
      <c r="F162" s="292"/>
      <c r="G162" s="293"/>
      <c r="H162" s="13"/>
      <c r="I162" s="13"/>
      <c r="J162" s="13"/>
      <c r="V162" s="93"/>
    </row>
    <row r="163" spans="1:22" ht="15" x14ac:dyDescent="0.25">
      <c r="A163" s="285" t="str">
        <f>B9</f>
        <v>Jord</v>
      </c>
      <c r="B163" s="286" t="s">
        <v>295</v>
      </c>
      <c r="C163" s="287" t="s">
        <v>299</v>
      </c>
      <c r="D163" s="288"/>
      <c r="E163" s="289"/>
      <c r="F163" s="288"/>
      <c r="G163" s="290" t="s">
        <v>297</v>
      </c>
      <c r="H163" s="13"/>
      <c r="I163" s="13"/>
      <c r="J163" s="13"/>
      <c r="V163" s="93"/>
    </row>
    <row r="164" spans="1:22" ht="43.2" x14ac:dyDescent="0.25">
      <c r="A164" s="265"/>
      <c r="B164" s="265" t="str">
        <f>Cirkuleringsgreb!B15</f>
        <v>Genbrug på matriklen</v>
      </c>
      <c r="C164" s="271" t="s">
        <v>157</v>
      </c>
      <c r="D164" s="107"/>
      <c r="E164" s="109"/>
      <c r="F164" s="107"/>
      <c r="G164" s="425" t="s">
        <v>325</v>
      </c>
      <c r="H164" s="13"/>
      <c r="I164" s="13"/>
      <c r="J164" s="13"/>
      <c r="V164" s="93"/>
    </row>
    <row r="165" spans="1:22" x14ac:dyDescent="0.25">
      <c r="A165" s="124"/>
      <c r="B165" s="124"/>
      <c r="C165" s="272" t="s">
        <v>158</v>
      </c>
      <c r="D165" s="13"/>
      <c r="E165" s="109"/>
      <c r="F165" s="13"/>
      <c r="G165" s="427"/>
      <c r="H165" s="13"/>
      <c r="I165" s="13"/>
      <c r="J165" s="13"/>
    </row>
    <row r="166" spans="1:22" ht="28.8" x14ac:dyDescent="0.25">
      <c r="A166" s="124"/>
      <c r="B166" s="124"/>
      <c r="C166" s="272" t="s">
        <v>159</v>
      </c>
      <c r="D166" s="13"/>
      <c r="E166" s="109"/>
      <c r="F166" s="13"/>
      <c r="G166" s="426" t="s">
        <v>326</v>
      </c>
      <c r="H166" s="13"/>
      <c r="I166" s="13"/>
      <c r="J166" s="13"/>
    </row>
    <row r="167" spans="1:22" x14ac:dyDescent="0.25">
      <c r="A167" s="266" t="s">
        <v>154</v>
      </c>
      <c r="B167" s="124"/>
      <c r="C167" s="82"/>
      <c r="D167" s="13"/>
      <c r="E167" s="109"/>
      <c r="F167" s="13"/>
      <c r="G167" s="125"/>
      <c r="H167" s="13"/>
      <c r="I167" s="13"/>
      <c r="J167" s="13"/>
    </row>
    <row r="168" spans="1:22" hidden="1" x14ac:dyDescent="0.25">
      <c r="A168" s="124"/>
      <c r="B168" s="124"/>
      <c r="C168" s="82"/>
      <c r="D168" s="13"/>
      <c r="E168" s="109"/>
      <c r="F168" s="13"/>
      <c r="G168" s="125"/>
      <c r="H168" s="13"/>
      <c r="I168" s="13"/>
      <c r="J168" s="13"/>
    </row>
    <row r="169" spans="1:22" ht="28.8" x14ac:dyDescent="0.25">
      <c r="A169" s="124" t="s">
        <v>160</v>
      </c>
      <c r="B169" s="124" t="str">
        <f>Cirkuleringsgreb!B16</f>
        <v>Genanvendelse uden for matriklen</v>
      </c>
      <c r="C169" s="82"/>
      <c r="D169" s="13"/>
      <c r="E169" s="109"/>
      <c r="F169" s="13"/>
      <c r="G169" s="426" t="s">
        <v>327</v>
      </c>
      <c r="H169" s="13"/>
      <c r="I169" s="13"/>
      <c r="J169" s="13"/>
    </row>
    <row r="170" spans="1:22" x14ac:dyDescent="0.25">
      <c r="A170" s="127"/>
      <c r="B170" s="127" t="str">
        <f>Cirkuleringsgreb!B17</f>
        <v>Deponi</v>
      </c>
      <c r="C170" s="87"/>
      <c r="D170" s="110"/>
      <c r="E170" s="111"/>
      <c r="F170" s="110"/>
      <c r="G170" s="428"/>
      <c r="H170" s="13"/>
      <c r="I170" s="13"/>
      <c r="J170" s="13"/>
    </row>
    <row r="171" spans="1:22" ht="15" x14ac:dyDescent="0.25">
      <c r="A171" s="276" t="str">
        <f>C9</f>
        <v>Asfalt</v>
      </c>
      <c r="B171" s="276" t="s">
        <v>295</v>
      </c>
      <c r="C171" s="277" t="s">
        <v>299</v>
      </c>
      <c r="D171" s="279"/>
      <c r="E171" s="282"/>
      <c r="F171" s="279" t="s">
        <v>171</v>
      </c>
      <c r="G171" s="278"/>
      <c r="H171" s="13"/>
      <c r="I171" s="13"/>
      <c r="J171" s="13"/>
    </row>
    <row r="172" spans="1:22" x14ac:dyDescent="0.25">
      <c r="A172" s="267" t="s">
        <v>50</v>
      </c>
      <c r="B172" s="267"/>
      <c r="C172" s="255" t="s">
        <v>47</v>
      </c>
      <c r="D172" s="256" t="s">
        <v>48</v>
      </c>
      <c r="E172" s="98"/>
      <c r="F172" s="97"/>
      <c r="G172" s="122"/>
      <c r="H172" s="13"/>
      <c r="I172" s="13"/>
      <c r="J172" s="13"/>
    </row>
    <row r="173" spans="1:22" ht="137.25" customHeight="1" x14ac:dyDescent="0.25">
      <c r="A173" s="122"/>
      <c r="B173" s="269" t="s">
        <v>138</v>
      </c>
      <c r="C173" s="114">
        <v>1976</v>
      </c>
      <c r="D173" s="100" t="s">
        <v>51</v>
      </c>
      <c r="E173" s="101" t="s">
        <v>94</v>
      </c>
      <c r="F173" s="115" t="s">
        <v>172</v>
      </c>
      <c r="G173" s="296"/>
      <c r="H173" s="116"/>
      <c r="I173" s="116"/>
      <c r="J173" s="116"/>
      <c r="K173" s="116"/>
      <c r="L173" s="116"/>
      <c r="M173" s="116"/>
      <c r="N173" s="116"/>
      <c r="O173" s="116"/>
      <c r="P173" s="116"/>
    </row>
    <row r="174" spans="1:22" x14ac:dyDescent="0.25">
      <c r="A174" s="122"/>
      <c r="B174" s="269" t="s">
        <v>384</v>
      </c>
      <c r="C174" s="114"/>
      <c r="D174" s="100" t="s">
        <v>51</v>
      </c>
      <c r="E174" s="101"/>
      <c r="F174" s="100"/>
      <c r="G174" s="122"/>
      <c r="H174" s="13"/>
      <c r="I174" s="13"/>
      <c r="J174" s="13"/>
    </row>
    <row r="175" spans="1:22" ht="45.75" customHeight="1" x14ac:dyDescent="0.25">
      <c r="A175" s="122"/>
      <c r="B175" s="269" t="s">
        <v>99</v>
      </c>
      <c r="C175" s="114"/>
      <c r="D175" s="100">
        <v>1976</v>
      </c>
      <c r="E175" s="101"/>
      <c r="F175" s="100" t="s">
        <v>342</v>
      </c>
      <c r="G175" s="122"/>
      <c r="H175" s="13"/>
      <c r="I175" s="13"/>
      <c r="J175" s="13"/>
    </row>
    <row r="176" spans="1:22" x14ac:dyDescent="0.25">
      <c r="A176" s="122"/>
      <c r="B176" s="122"/>
      <c r="C176" s="114"/>
      <c r="D176" s="100"/>
      <c r="E176" s="101"/>
      <c r="F176" s="100"/>
      <c r="G176" s="122"/>
      <c r="H176" s="13"/>
      <c r="I176" s="13"/>
      <c r="J176" s="13"/>
    </row>
    <row r="177" spans="1:10" ht="14.4" x14ac:dyDescent="0.3">
      <c r="A177" s="122"/>
      <c r="B177" s="122"/>
      <c r="C177" s="114"/>
      <c r="D177" s="100"/>
      <c r="E177" s="101"/>
      <c r="F177" s="273"/>
      <c r="G177" s="122"/>
      <c r="H177" s="13"/>
      <c r="I177" s="13"/>
      <c r="J177" s="13"/>
    </row>
    <row r="178" spans="1:10" x14ac:dyDescent="0.25">
      <c r="A178" s="122"/>
      <c r="B178" s="122"/>
      <c r="C178" s="114"/>
      <c r="D178" s="100"/>
      <c r="E178" s="101"/>
      <c r="F178" s="100"/>
      <c r="G178" s="122"/>
      <c r="H178" s="13"/>
      <c r="I178" s="13"/>
      <c r="J178" s="13"/>
    </row>
    <row r="179" spans="1:10" x14ac:dyDescent="0.25">
      <c r="A179" s="122"/>
      <c r="B179" s="122"/>
      <c r="C179" s="114"/>
      <c r="D179" s="100"/>
      <c r="E179" s="101"/>
      <c r="F179" s="100"/>
      <c r="G179" s="122"/>
      <c r="H179" s="13"/>
      <c r="I179" s="13"/>
      <c r="J179" s="13"/>
    </row>
    <row r="180" spans="1:10" x14ac:dyDescent="0.25">
      <c r="A180" s="122"/>
      <c r="B180" s="122"/>
      <c r="C180" s="114"/>
      <c r="D180" s="100"/>
      <c r="E180" s="101"/>
      <c r="F180" s="100"/>
      <c r="G180" s="122"/>
      <c r="H180" s="13"/>
      <c r="I180" s="13"/>
      <c r="J180" s="13"/>
    </row>
    <row r="181" spans="1:10" x14ac:dyDescent="0.25">
      <c r="A181" s="122"/>
      <c r="B181" s="122"/>
      <c r="C181" s="114"/>
      <c r="D181" s="100"/>
      <c r="E181" s="101"/>
      <c r="F181" s="100"/>
      <c r="G181" s="122"/>
      <c r="H181" s="13"/>
      <c r="I181" s="13"/>
      <c r="J181" s="13"/>
    </row>
    <row r="182" spans="1:10" x14ac:dyDescent="0.25">
      <c r="A182" s="122"/>
      <c r="B182" s="122"/>
      <c r="C182" s="114"/>
      <c r="D182" s="100"/>
      <c r="E182" s="101"/>
      <c r="F182" s="100"/>
      <c r="G182" s="122"/>
      <c r="H182" s="13"/>
      <c r="I182" s="13"/>
      <c r="J182" s="13"/>
    </row>
    <row r="183" spans="1:10" x14ac:dyDescent="0.25">
      <c r="A183" s="122"/>
      <c r="B183" s="122"/>
      <c r="C183" s="114"/>
      <c r="D183" s="100"/>
      <c r="E183" s="101"/>
      <c r="F183" s="100"/>
      <c r="G183" s="122"/>
      <c r="H183" s="13"/>
      <c r="I183" s="13"/>
      <c r="J183" s="13"/>
    </row>
    <row r="184" spans="1:10" x14ac:dyDescent="0.25">
      <c r="A184" s="268"/>
      <c r="B184" s="268"/>
      <c r="C184" s="117"/>
      <c r="D184" s="103"/>
      <c r="E184" s="104"/>
      <c r="F184" s="103"/>
      <c r="G184" s="122"/>
      <c r="H184" s="13"/>
      <c r="I184" s="13"/>
      <c r="J184" s="13"/>
    </row>
    <row r="185" spans="1:10" ht="15" x14ac:dyDescent="0.25">
      <c r="A185" s="276" t="str">
        <f>D9</f>
        <v>Beton</v>
      </c>
      <c r="B185" s="276" t="s">
        <v>295</v>
      </c>
      <c r="C185" s="277"/>
      <c r="D185" s="279"/>
      <c r="E185" s="282"/>
      <c r="F185" s="279" t="s">
        <v>171</v>
      </c>
      <c r="G185" s="278"/>
      <c r="H185" s="13"/>
      <c r="I185" s="13"/>
      <c r="J185" s="13"/>
    </row>
    <row r="186" spans="1:10" x14ac:dyDescent="0.25">
      <c r="A186" s="265"/>
      <c r="B186" s="265"/>
      <c r="C186" s="106"/>
      <c r="D186" s="107"/>
      <c r="E186" s="108"/>
      <c r="F186" s="107"/>
      <c r="G186" s="125"/>
      <c r="H186" s="13"/>
      <c r="I186" s="13"/>
      <c r="J186" s="13"/>
    </row>
    <row r="187" spans="1:10" x14ac:dyDescent="0.25">
      <c r="A187" s="124"/>
      <c r="B187" s="124"/>
      <c r="C187" s="82"/>
      <c r="D187" s="13"/>
      <c r="E187" s="109"/>
      <c r="F187" s="13"/>
      <c r="G187" s="125"/>
      <c r="H187" s="13"/>
      <c r="I187" s="13"/>
      <c r="J187" s="13"/>
    </row>
    <row r="188" spans="1:10" x14ac:dyDescent="0.25">
      <c r="A188" s="124"/>
      <c r="B188" s="124"/>
      <c r="C188" s="82"/>
      <c r="D188" s="13"/>
      <c r="E188" s="109"/>
      <c r="F188" s="13"/>
      <c r="G188" s="125"/>
      <c r="H188" s="13"/>
      <c r="I188" s="13"/>
      <c r="J188" s="13"/>
    </row>
    <row r="189" spans="1:10" x14ac:dyDescent="0.25">
      <c r="A189" s="124"/>
      <c r="B189" s="124" t="s">
        <v>97</v>
      </c>
      <c r="C189" s="82"/>
      <c r="D189" s="13"/>
      <c r="E189" s="109"/>
      <c r="F189" s="13"/>
      <c r="G189" s="125"/>
      <c r="H189" s="13"/>
      <c r="I189" s="13"/>
      <c r="J189" s="13"/>
    </row>
    <row r="190" spans="1:10" x14ac:dyDescent="0.25">
      <c r="A190" s="124"/>
      <c r="B190" s="124" t="s">
        <v>98</v>
      </c>
      <c r="C190" s="82"/>
      <c r="D190" s="13"/>
      <c r="E190" s="109"/>
      <c r="F190" s="13"/>
      <c r="G190" s="125"/>
      <c r="H190" s="13"/>
      <c r="I190" s="13"/>
      <c r="J190" s="13"/>
    </row>
    <row r="191" spans="1:10" ht="57" customHeight="1" x14ac:dyDescent="0.25">
      <c r="A191" s="124"/>
      <c r="B191" s="124" t="s">
        <v>99</v>
      </c>
      <c r="C191" s="82"/>
      <c r="D191" s="13"/>
      <c r="E191" s="109"/>
      <c r="F191" s="116" t="s">
        <v>173</v>
      </c>
      <c r="G191" s="125"/>
      <c r="H191" s="13"/>
      <c r="I191" s="13"/>
      <c r="J191" s="13"/>
    </row>
    <row r="192" spans="1:10" x14ac:dyDescent="0.25">
      <c r="A192" s="124"/>
      <c r="B192" s="124"/>
      <c r="C192" s="82"/>
      <c r="D192" s="13"/>
      <c r="E192" s="109"/>
      <c r="F192" s="11"/>
      <c r="G192" s="125"/>
      <c r="H192" s="13"/>
      <c r="I192" s="13"/>
      <c r="J192" s="13"/>
    </row>
    <row r="193" spans="1:1229" x14ac:dyDescent="0.25">
      <c r="A193" s="124"/>
      <c r="B193" s="124"/>
      <c r="C193" s="82"/>
      <c r="D193" s="13"/>
      <c r="E193" s="109"/>
      <c r="F193" s="13"/>
      <c r="G193" s="125"/>
      <c r="H193" s="13"/>
      <c r="I193" s="13"/>
      <c r="J193" s="13"/>
    </row>
    <row r="194" spans="1:1229" x14ac:dyDescent="0.25">
      <c r="A194" s="124"/>
      <c r="B194" s="124"/>
      <c r="C194" s="82"/>
      <c r="D194" s="13"/>
      <c r="E194" s="109"/>
      <c r="F194" s="13"/>
      <c r="G194" s="125"/>
      <c r="H194" s="13"/>
      <c r="I194" s="13"/>
      <c r="J194" s="13"/>
    </row>
    <row r="195" spans="1:1229" x14ac:dyDescent="0.25">
      <c r="A195" s="124"/>
      <c r="B195" s="124"/>
      <c r="C195" s="82"/>
      <c r="D195" s="13"/>
      <c r="E195" s="109"/>
      <c r="F195" s="13"/>
      <c r="G195" s="125"/>
      <c r="H195" s="13"/>
      <c r="I195" s="13"/>
      <c r="J195" s="13"/>
    </row>
    <row r="196" spans="1:1229" x14ac:dyDescent="0.25">
      <c r="A196" s="124"/>
      <c r="B196" s="124"/>
      <c r="C196" s="82"/>
      <c r="D196" s="13"/>
      <c r="E196" s="109"/>
      <c r="F196" s="13"/>
      <c r="G196" s="125"/>
      <c r="H196" s="13"/>
      <c r="I196" s="13"/>
      <c r="J196" s="13"/>
    </row>
    <row r="197" spans="1:1229" x14ac:dyDescent="0.25">
      <c r="A197" s="124"/>
      <c r="B197" s="124"/>
      <c r="C197" s="82"/>
      <c r="D197" s="13"/>
      <c r="E197" s="109"/>
      <c r="F197" s="13"/>
      <c r="G197" s="125"/>
      <c r="H197" s="13"/>
      <c r="I197" s="13"/>
      <c r="J197" s="13"/>
    </row>
    <row r="198" spans="1:1229" x14ac:dyDescent="0.25">
      <c r="A198" s="124"/>
      <c r="B198" s="124"/>
      <c r="C198" s="82"/>
      <c r="D198" s="13"/>
      <c r="E198" s="109"/>
      <c r="F198" s="13"/>
      <c r="G198" s="125"/>
      <c r="H198" s="13"/>
      <c r="I198" s="13"/>
      <c r="J198" s="13"/>
    </row>
    <row r="199" spans="1:1229" x14ac:dyDescent="0.25">
      <c r="A199" s="127"/>
      <c r="B199" s="127"/>
      <c r="C199" s="87"/>
      <c r="D199" s="110"/>
      <c r="E199" s="111"/>
      <c r="F199" s="110"/>
      <c r="G199" s="128"/>
      <c r="H199" s="13"/>
      <c r="I199" s="13"/>
      <c r="J199" s="13"/>
    </row>
    <row r="200" spans="1:1229" ht="136.80000000000001" x14ac:dyDescent="0.25">
      <c r="A200" s="294" t="s">
        <v>371</v>
      </c>
      <c r="B200" s="94"/>
      <c r="C200" s="94"/>
      <c r="D200" s="95"/>
      <c r="E200" s="95"/>
      <c r="F200" s="95"/>
      <c r="G200" s="95"/>
      <c r="H200" s="95"/>
      <c r="I200" s="95"/>
      <c r="J200" s="95"/>
    </row>
    <row r="201" spans="1:1229" s="302" customFormat="1" ht="41.4" x14ac:dyDescent="0.25">
      <c r="A201" s="67" t="s">
        <v>321</v>
      </c>
      <c r="B201" s="301"/>
      <c r="C201" s="301"/>
      <c r="K201" s="423"/>
      <c r="L201" s="423"/>
      <c r="M201" s="423"/>
      <c r="N201" s="423"/>
      <c r="O201" s="423"/>
      <c r="P201" s="423"/>
      <c r="Q201" s="423"/>
      <c r="R201" s="423"/>
      <c r="S201" s="423"/>
      <c r="T201" s="423"/>
      <c r="U201" s="423"/>
      <c r="V201" s="423"/>
      <c r="W201" s="423"/>
      <c r="X201" s="423"/>
      <c r="Y201" s="423"/>
      <c r="Z201" s="423"/>
      <c r="AA201" s="423"/>
      <c r="AB201" s="423"/>
      <c r="AC201" s="423"/>
      <c r="AD201" s="423"/>
      <c r="AE201" s="423"/>
      <c r="AF201" s="423"/>
      <c r="AG201" s="423"/>
      <c r="AH201" s="423"/>
      <c r="AI201" s="423"/>
      <c r="AJ201" s="423"/>
      <c r="AK201" s="423"/>
      <c r="AL201" s="423"/>
      <c r="AM201" s="423"/>
      <c r="AN201" s="423"/>
      <c r="AO201" s="423"/>
      <c r="AP201" s="423"/>
      <c r="AQ201" s="423"/>
      <c r="AR201" s="423"/>
      <c r="AS201" s="423"/>
      <c r="AT201" s="423"/>
      <c r="AU201" s="423"/>
      <c r="AV201" s="423"/>
      <c r="AW201" s="423"/>
      <c r="AX201" s="423"/>
      <c r="AY201" s="423"/>
      <c r="AZ201" s="423"/>
      <c r="BA201" s="423"/>
      <c r="BB201" s="423"/>
      <c r="BC201" s="423"/>
      <c r="BD201" s="423"/>
      <c r="BE201" s="423"/>
      <c r="BF201" s="423"/>
      <c r="BG201" s="423"/>
      <c r="BH201" s="423"/>
      <c r="BI201" s="423"/>
      <c r="BJ201" s="423"/>
      <c r="BK201" s="423"/>
      <c r="BL201" s="423"/>
      <c r="BM201" s="423"/>
      <c r="BN201" s="423"/>
      <c r="BO201" s="423"/>
      <c r="BP201" s="423"/>
      <c r="BQ201" s="423"/>
      <c r="BR201" s="423"/>
      <c r="BS201" s="423"/>
      <c r="BT201" s="423"/>
      <c r="BU201" s="423"/>
      <c r="BV201" s="423"/>
      <c r="BW201" s="423"/>
      <c r="BX201" s="423"/>
      <c r="BY201" s="423"/>
      <c r="BZ201" s="423"/>
      <c r="CA201" s="423"/>
      <c r="CB201" s="423"/>
      <c r="CC201" s="423"/>
      <c r="CD201" s="423"/>
      <c r="CE201" s="423"/>
      <c r="CF201" s="423"/>
      <c r="CG201" s="423"/>
      <c r="CH201" s="423"/>
      <c r="CI201" s="423"/>
      <c r="CJ201" s="423"/>
      <c r="CK201" s="423"/>
      <c r="CL201" s="423"/>
      <c r="CM201" s="423"/>
      <c r="CN201" s="423"/>
      <c r="CO201" s="423"/>
      <c r="CP201" s="423"/>
      <c r="CQ201" s="423"/>
      <c r="CR201" s="423"/>
      <c r="CS201" s="423"/>
      <c r="CT201" s="423"/>
      <c r="CU201" s="423"/>
      <c r="CV201" s="423"/>
      <c r="CW201" s="423"/>
      <c r="CX201" s="423"/>
      <c r="CY201" s="423"/>
      <c r="CZ201" s="423"/>
      <c r="DA201" s="423"/>
      <c r="DB201" s="423"/>
      <c r="DC201" s="423"/>
      <c r="DD201" s="423"/>
      <c r="DE201" s="423"/>
      <c r="DF201" s="423"/>
      <c r="DG201" s="423"/>
      <c r="DH201" s="423"/>
      <c r="DI201" s="423"/>
      <c r="DJ201" s="423"/>
      <c r="DK201" s="423"/>
      <c r="DL201" s="423"/>
      <c r="DM201" s="423"/>
      <c r="DN201" s="423"/>
      <c r="DO201" s="423"/>
      <c r="DP201" s="423"/>
      <c r="DQ201" s="423"/>
      <c r="DR201" s="423"/>
      <c r="DS201" s="423"/>
      <c r="DT201" s="423"/>
      <c r="DU201" s="423"/>
      <c r="DV201" s="423"/>
      <c r="DW201" s="423"/>
      <c r="DX201" s="423"/>
      <c r="DY201" s="423"/>
      <c r="DZ201" s="423"/>
      <c r="EA201" s="423"/>
      <c r="EB201" s="423"/>
      <c r="EC201" s="423"/>
      <c r="ED201" s="423"/>
      <c r="EE201" s="423"/>
      <c r="EF201" s="423"/>
      <c r="EG201" s="423"/>
      <c r="EH201" s="423"/>
      <c r="EI201" s="423"/>
      <c r="EJ201" s="423"/>
      <c r="EK201" s="423"/>
      <c r="EL201" s="423"/>
      <c r="EM201" s="423"/>
      <c r="EN201" s="423"/>
      <c r="EO201" s="423"/>
      <c r="EP201" s="423"/>
      <c r="EQ201" s="423"/>
      <c r="ER201" s="423"/>
      <c r="ES201" s="423"/>
      <c r="ET201" s="423"/>
      <c r="EU201" s="423"/>
      <c r="EV201" s="423"/>
      <c r="EW201" s="423"/>
      <c r="EX201" s="423"/>
      <c r="EY201" s="423"/>
      <c r="EZ201" s="423"/>
      <c r="FA201" s="423"/>
      <c r="FB201" s="423"/>
      <c r="FC201" s="423"/>
      <c r="FD201" s="423"/>
      <c r="FE201" s="423"/>
      <c r="FF201" s="423"/>
      <c r="FG201" s="423"/>
      <c r="FH201" s="423"/>
      <c r="FI201" s="423"/>
      <c r="FJ201" s="423"/>
      <c r="FK201" s="423"/>
      <c r="FL201" s="423"/>
      <c r="FM201" s="423"/>
      <c r="FN201" s="423"/>
      <c r="FO201" s="423"/>
      <c r="FP201" s="423"/>
      <c r="FQ201" s="423"/>
      <c r="FR201" s="423"/>
      <c r="FS201" s="423"/>
      <c r="FT201" s="423"/>
      <c r="FU201" s="423"/>
      <c r="FV201" s="423"/>
      <c r="FW201" s="423"/>
      <c r="FX201" s="423"/>
      <c r="FY201" s="423"/>
      <c r="FZ201" s="423"/>
      <c r="GA201" s="423"/>
      <c r="GB201" s="423"/>
      <c r="GC201" s="423"/>
      <c r="GD201" s="423"/>
      <c r="GE201" s="423"/>
      <c r="GF201" s="423"/>
      <c r="GG201" s="423"/>
      <c r="GH201" s="423"/>
      <c r="GI201" s="423"/>
      <c r="GJ201" s="423"/>
      <c r="GK201" s="423"/>
      <c r="GL201" s="423"/>
      <c r="GM201" s="423"/>
      <c r="GN201" s="423"/>
      <c r="GO201" s="423"/>
      <c r="GP201" s="423"/>
      <c r="GQ201" s="423"/>
      <c r="GR201" s="423"/>
      <c r="GS201" s="423"/>
      <c r="GT201" s="423"/>
      <c r="GU201" s="423"/>
      <c r="GV201" s="423"/>
      <c r="GW201" s="423"/>
      <c r="GX201" s="423"/>
      <c r="GY201" s="423"/>
      <c r="GZ201" s="423"/>
      <c r="HA201" s="423"/>
      <c r="HB201" s="423"/>
      <c r="HC201" s="423"/>
      <c r="HD201" s="423"/>
      <c r="HE201" s="423"/>
      <c r="HF201" s="423"/>
      <c r="HG201" s="423"/>
      <c r="HH201" s="423"/>
      <c r="HI201" s="423"/>
      <c r="HJ201" s="423"/>
      <c r="HK201" s="423"/>
      <c r="HL201" s="423"/>
      <c r="HM201" s="423"/>
      <c r="HN201" s="423"/>
      <c r="HO201" s="423"/>
      <c r="HP201" s="423"/>
      <c r="HQ201" s="423"/>
      <c r="HR201" s="423"/>
      <c r="HS201" s="423"/>
      <c r="HT201" s="423"/>
      <c r="HU201" s="423"/>
      <c r="HV201" s="423"/>
      <c r="HW201" s="423"/>
      <c r="HX201" s="423"/>
      <c r="HY201" s="423"/>
      <c r="HZ201" s="423"/>
      <c r="IA201" s="423"/>
      <c r="IB201" s="423"/>
      <c r="IC201" s="423"/>
      <c r="ID201" s="423"/>
      <c r="IE201" s="423"/>
      <c r="IF201" s="423"/>
      <c r="IG201" s="423"/>
      <c r="IH201" s="423"/>
      <c r="II201" s="423"/>
      <c r="IJ201" s="423"/>
      <c r="IK201" s="423"/>
      <c r="IL201" s="423"/>
      <c r="IM201" s="423"/>
      <c r="IN201" s="423"/>
      <c r="IO201" s="423"/>
      <c r="IP201" s="423"/>
      <c r="IQ201" s="423"/>
      <c r="IR201" s="423"/>
      <c r="IS201" s="423"/>
      <c r="IT201" s="423"/>
      <c r="IU201" s="423"/>
      <c r="IV201" s="423"/>
      <c r="IW201" s="423"/>
      <c r="IX201" s="423"/>
      <c r="IY201" s="423"/>
      <c r="IZ201" s="423"/>
      <c r="JA201" s="423"/>
      <c r="JB201" s="423"/>
      <c r="JC201" s="423"/>
      <c r="JD201" s="423"/>
      <c r="JE201" s="423"/>
      <c r="JF201" s="423"/>
      <c r="JG201" s="423"/>
      <c r="JH201" s="423"/>
      <c r="JI201" s="423"/>
      <c r="JJ201" s="423"/>
      <c r="JK201" s="423"/>
      <c r="JL201" s="423"/>
      <c r="JM201" s="423"/>
      <c r="JN201" s="423"/>
      <c r="JO201" s="423"/>
      <c r="JP201" s="423"/>
      <c r="JQ201" s="423"/>
      <c r="JR201" s="423"/>
      <c r="JS201" s="423"/>
      <c r="JT201" s="423"/>
      <c r="JU201" s="423"/>
      <c r="JV201" s="423"/>
      <c r="JW201" s="423"/>
      <c r="JX201" s="423"/>
      <c r="JY201" s="423"/>
      <c r="JZ201" s="423"/>
      <c r="KA201" s="423"/>
      <c r="KB201" s="423"/>
      <c r="KC201" s="423"/>
      <c r="KD201" s="423"/>
      <c r="KE201" s="423"/>
      <c r="KF201" s="423"/>
      <c r="KG201" s="423"/>
      <c r="KH201" s="423"/>
      <c r="KI201" s="423"/>
      <c r="KJ201" s="423"/>
      <c r="KK201" s="423"/>
      <c r="KL201" s="423"/>
      <c r="KM201" s="423"/>
      <c r="KN201" s="423"/>
      <c r="KO201" s="423"/>
      <c r="KP201" s="423"/>
      <c r="KQ201" s="423"/>
      <c r="KR201" s="423"/>
      <c r="KS201" s="423"/>
      <c r="KT201" s="423"/>
      <c r="KU201" s="423"/>
      <c r="KV201" s="423"/>
      <c r="KW201" s="423"/>
      <c r="KX201" s="423"/>
      <c r="KY201" s="423"/>
      <c r="KZ201" s="423"/>
      <c r="LA201" s="423"/>
      <c r="LB201" s="423"/>
      <c r="LC201" s="423"/>
      <c r="LD201" s="423"/>
      <c r="LE201" s="423"/>
      <c r="LF201" s="423"/>
      <c r="LG201" s="423"/>
      <c r="LH201" s="423"/>
      <c r="LI201" s="423"/>
      <c r="LJ201" s="423"/>
      <c r="LK201" s="423"/>
      <c r="LL201" s="423"/>
      <c r="LM201" s="423"/>
      <c r="LN201" s="423"/>
      <c r="LO201" s="423"/>
      <c r="LP201" s="423"/>
      <c r="LQ201" s="423"/>
      <c r="LR201" s="423"/>
      <c r="LS201" s="423"/>
      <c r="LT201" s="423"/>
      <c r="LU201" s="423"/>
      <c r="LV201" s="423"/>
      <c r="LW201" s="423"/>
      <c r="LX201" s="423"/>
      <c r="LY201" s="423"/>
      <c r="LZ201" s="423"/>
      <c r="MA201" s="423"/>
      <c r="MB201" s="423"/>
      <c r="MC201" s="423"/>
      <c r="MD201" s="423"/>
      <c r="ME201" s="423"/>
      <c r="MF201" s="423"/>
      <c r="MG201" s="423"/>
      <c r="MH201" s="423"/>
      <c r="MI201" s="423"/>
      <c r="MJ201" s="423"/>
      <c r="MK201" s="423"/>
      <c r="ML201" s="423"/>
      <c r="MM201" s="423"/>
      <c r="MN201" s="423"/>
      <c r="MO201" s="423"/>
      <c r="MP201" s="423"/>
      <c r="MQ201" s="423"/>
      <c r="MR201" s="423"/>
      <c r="MS201" s="423"/>
      <c r="MT201" s="423"/>
      <c r="MU201" s="423"/>
      <c r="MV201" s="423"/>
      <c r="MW201" s="423"/>
      <c r="MX201" s="423"/>
      <c r="MY201" s="423"/>
      <c r="MZ201" s="423"/>
      <c r="NA201" s="423"/>
      <c r="NB201" s="423"/>
      <c r="NC201" s="423"/>
      <c r="ND201" s="423"/>
      <c r="NE201" s="423"/>
      <c r="NF201" s="423"/>
      <c r="NG201" s="423"/>
      <c r="NH201" s="423"/>
      <c r="NI201" s="423"/>
      <c r="NJ201" s="423"/>
      <c r="NK201" s="423"/>
      <c r="NL201" s="423"/>
      <c r="NM201" s="423"/>
      <c r="NN201" s="423"/>
      <c r="NO201" s="423"/>
      <c r="NP201" s="423"/>
      <c r="NQ201" s="423"/>
      <c r="NR201" s="423"/>
      <c r="NS201" s="423"/>
      <c r="NT201" s="423"/>
      <c r="NU201" s="423"/>
      <c r="NV201" s="423"/>
      <c r="NW201" s="423"/>
      <c r="NX201" s="423"/>
      <c r="NY201" s="423"/>
      <c r="NZ201" s="423"/>
      <c r="OA201" s="423"/>
      <c r="OB201" s="423"/>
      <c r="OC201" s="423"/>
      <c r="OD201" s="423"/>
      <c r="OE201" s="423"/>
      <c r="OF201" s="423"/>
      <c r="OG201" s="423"/>
      <c r="OH201" s="423"/>
      <c r="OI201" s="423"/>
      <c r="OJ201" s="423"/>
      <c r="OK201" s="423"/>
      <c r="OL201" s="423"/>
      <c r="OM201" s="423"/>
      <c r="ON201" s="423"/>
      <c r="OO201" s="423"/>
      <c r="OP201" s="423"/>
      <c r="OQ201" s="423"/>
      <c r="OR201" s="423"/>
      <c r="OS201" s="423"/>
      <c r="OT201" s="423"/>
      <c r="OU201" s="423"/>
      <c r="OV201" s="423"/>
      <c r="OW201" s="423"/>
      <c r="OX201" s="423"/>
      <c r="OY201" s="423"/>
      <c r="OZ201" s="423"/>
      <c r="PA201" s="423"/>
      <c r="PB201" s="423"/>
      <c r="PC201" s="423"/>
      <c r="PD201" s="423"/>
      <c r="PE201" s="423"/>
      <c r="PF201" s="423"/>
      <c r="PG201" s="423"/>
      <c r="PH201" s="423"/>
      <c r="PI201" s="423"/>
      <c r="PJ201" s="423"/>
      <c r="PK201" s="423"/>
      <c r="PL201" s="423"/>
      <c r="PM201" s="423"/>
      <c r="PN201" s="423"/>
      <c r="PO201" s="423"/>
      <c r="PP201" s="423"/>
      <c r="PQ201" s="423"/>
      <c r="PR201" s="423"/>
      <c r="PS201" s="423"/>
      <c r="PT201" s="423"/>
      <c r="PU201" s="423"/>
      <c r="PV201" s="423"/>
      <c r="PW201" s="423"/>
      <c r="PX201" s="423"/>
      <c r="PY201" s="423"/>
      <c r="PZ201" s="423"/>
      <c r="QA201" s="423"/>
      <c r="QB201" s="423"/>
      <c r="QC201" s="423"/>
      <c r="QD201" s="423"/>
      <c r="QE201" s="423"/>
      <c r="QF201" s="423"/>
      <c r="QG201" s="423"/>
      <c r="QH201" s="423"/>
      <c r="QI201" s="423"/>
      <c r="QJ201" s="423"/>
      <c r="QK201" s="423"/>
      <c r="QL201" s="423"/>
      <c r="QM201" s="423"/>
      <c r="QN201" s="423"/>
      <c r="QO201" s="423"/>
      <c r="QP201" s="423"/>
      <c r="QQ201" s="423"/>
      <c r="QR201" s="423"/>
      <c r="QS201" s="423"/>
      <c r="QT201" s="423"/>
      <c r="QU201" s="423"/>
      <c r="QV201" s="423"/>
      <c r="QW201" s="423"/>
      <c r="QX201" s="423"/>
      <c r="QY201" s="423"/>
      <c r="QZ201" s="423"/>
      <c r="RA201" s="423"/>
      <c r="RB201" s="423"/>
      <c r="RC201" s="423"/>
      <c r="RD201" s="423"/>
      <c r="RE201" s="423"/>
      <c r="RF201" s="423"/>
      <c r="RG201" s="423"/>
      <c r="RH201" s="423"/>
      <c r="RI201" s="423"/>
      <c r="RJ201" s="423"/>
      <c r="RK201" s="423"/>
      <c r="RL201" s="423"/>
      <c r="RM201" s="423"/>
      <c r="RN201" s="423"/>
      <c r="RO201" s="423"/>
      <c r="RP201" s="423"/>
      <c r="RQ201" s="423"/>
      <c r="RR201" s="423"/>
      <c r="RS201" s="423"/>
      <c r="RT201" s="423"/>
      <c r="RU201" s="423"/>
      <c r="RV201" s="423"/>
      <c r="RW201" s="423"/>
      <c r="RX201" s="423"/>
      <c r="RY201" s="423"/>
      <c r="RZ201" s="423"/>
      <c r="SA201" s="423"/>
      <c r="SB201" s="423"/>
      <c r="SC201" s="423"/>
      <c r="SD201" s="423"/>
      <c r="SE201" s="423"/>
      <c r="SF201" s="423"/>
      <c r="SG201" s="423"/>
      <c r="SH201" s="423"/>
      <c r="SI201" s="423"/>
      <c r="SJ201" s="423"/>
      <c r="SK201" s="423"/>
      <c r="SL201" s="423"/>
      <c r="SM201" s="423"/>
      <c r="SN201" s="423"/>
      <c r="SO201" s="423"/>
      <c r="SP201" s="423"/>
      <c r="SQ201" s="423"/>
      <c r="SR201" s="423"/>
      <c r="SS201" s="423"/>
      <c r="ST201" s="423"/>
      <c r="SU201" s="423"/>
      <c r="SV201" s="423"/>
      <c r="SW201" s="423"/>
      <c r="SX201" s="423"/>
      <c r="SY201" s="423"/>
      <c r="SZ201" s="423"/>
      <c r="TA201" s="423"/>
      <c r="TB201" s="423"/>
      <c r="TC201" s="423"/>
      <c r="TD201" s="423"/>
      <c r="TE201" s="423"/>
      <c r="TF201" s="423"/>
      <c r="TG201" s="423"/>
      <c r="TH201" s="423"/>
      <c r="TI201" s="423"/>
      <c r="TJ201" s="423"/>
      <c r="TK201" s="423"/>
      <c r="TL201" s="423"/>
      <c r="TM201" s="423"/>
      <c r="TN201" s="423"/>
      <c r="TO201" s="423"/>
      <c r="TP201" s="423"/>
      <c r="TQ201" s="423"/>
      <c r="TR201" s="423"/>
      <c r="TS201" s="423"/>
      <c r="TT201" s="423"/>
      <c r="TU201" s="423"/>
      <c r="TV201" s="423"/>
      <c r="TW201" s="423"/>
      <c r="TX201" s="423"/>
      <c r="TY201" s="423"/>
      <c r="TZ201" s="423"/>
      <c r="UA201" s="423"/>
      <c r="UB201" s="423"/>
      <c r="UC201" s="423"/>
      <c r="UD201" s="423"/>
      <c r="UE201" s="423"/>
      <c r="UF201" s="423"/>
      <c r="UG201" s="423"/>
      <c r="UH201" s="423"/>
      <c r="UI201" s="423"/>
      <c r="UJ201" s="423"/>
      <c r="UK201" s="423"/>
      <c r="UL201" s="423"/>
      <c r="UM201" s="423"/>
      <c r="UN201" s="423"/>
      <c r="UO201" s="423"/>
      <c r="UP201" s="423"/>
      <c r="UQ201" s="423"/>
      <c r="UR201" s="423"/>
      <c r="US201" s="423"/>
      <c r="UT201" s="423"/>
      <c r="UU201" s="423"/>
      <c r="UV201" s="423"/>
      <c r="UW201" s="423"/>
      <c r="UX201" s="423"/>
      <c r="UY201" s="423"/>
      <c r="UZ201" s="423"/>
      <c r="VA201" s="423"/>
      <c r="VB201" s="423"/>
      <c r="VC201" s="423"/>
      <c r="VD201" s="423"/>
      <c r="VE201" s="423"/>
      <c r="VF201" s="423"/>
      <c r="VG201" s="423"/>
      <c r="VH201" s="423"/>
      <c r="VI201" s="423"/>
      <c r="VJ201" s="423"/>
      <c r="VK201" s="423"/>
      <c r="VL201" s="423"/>
      <c r="VM201" s="423"/>
      <c r="VN201" s="423"/>
      <c r="VO201" s="423"/>
      <c r="VP201" s="423"/>
      <c r="VQ201" s="423"/>
      <c r="VR201" s="423"/>
      <c r="VS201" s="423"/>
      <c r="VT201" s="423"/>
      <c r="VU201" s="423"/>
      <c r="VV201" s="423"/>
      <c r="VW201" s="423"/>
      <c r="VX201" s="423"/>
      <c r="VY201" s="423"/>
      <c r="VZ201" s="423"/>
      <c r="WA201" s="423"/>
      <c r="WB201" s="423"/>
      <c r="WC201" s="423"/>
      <c r="WD201" s="423"/>
      <c r="WE201" s="423"/>
      <c r="WF201" s="423"/>
      <c r="WG201" s="423"/>
      <c r="WH201" s="423"/>
      <c r="WI201" s="423"/>
      <c r="WJ201" s="423"/>
      <c r="WK201" s="423"/>
      <c r="WL201" s="423"/>
      <c r="WM201" s="423"/>
      <c r="WN201" s="423"/>
      <c r="WO201" s="423"/>
      <c r="WP201" s="423"/>
      <c r="WQ201" s="423"/>
      <c r="WR201" s="423"/>
      <c r="WS201" s="423"/>
      <c r="WT201" s="423"/>
      <c r="WU201" s="423"/>
      <c r="WV201" s="423"/>
      <c r="WW201" s="423"/>
      <c r="WX201" s="423"/>
      <c r="WY201" s="423"/>
      <c r="WZ201" s="423"/>
      <c r="XA201" s="423"/>
      <c r="XB201" s="423"/>
      <c r="XC201" s="423"/>
      <c r="XD201" s="423"/>
      <c r="XE201" s="423"/>
      <c r="XF201" s="423"/>
      <c r="XG201" s="423"/>
      <c r="XH201" s="423"/>
      <c r="XI201" s="423"/>
      <c r="XJ201" s="423"/>
      <c r="XK201" s="423"/>
      <c r="XL201" s="423"/>
      <c r="XM201" s="423"/>
      <c r="XN201" s="423"/>
      <c r="XO201" s="423"/>
      <c r="XP201" s="423"/>
      <c r="XQ201" s="423"/>
      <c r="XR201" s="423"/>
      <c r="XS201" s="423"/>
      <c r="XT201" s="423"/>
      <c r="XU201" s="423"/>
      <c r="XV201" s="423"/>
      <c r="XW201" s="423"/>
      <c r="XX201" s="423"/>
      <c r="XY201" s="423"/>
      <c r="XZ201" s="423"/>
      <c r="YA201" s="423"/>
      <c r="YB201" s="423"/>
      <c r="YC201" s="423"/>
      <c r="YD201" s="423"/>
      <c r="YE201" s="423"/>
      <c r="YF201" s="423"/>
      <c r="YG201" s="423"/>
      <c r="YH201" s="423"/>
      <c r="YI201" s="423"/>
      <c r="YJ201" s="423"/>
      <c r="YK201" s="423"/>
      <c r="YL201" s="423"/>
      <c r="YM201" s="423"/>
      <c r="YN201" s="423"/>
      <c r="YO201" s="423"/>
      <c r="YP201" s="423"/>
      <c r="YQ201" s="423"/>
      <c r="YR201" s="423"/>
      <c r="YS201" s="423"/>
      <c r="YT201" s="423"/>
      <c r="YU201" s="423"/>
      <c r="YV201" s="423"/>
      <c r="YW201" s="423"/>
      <c r="YX201" s="423"/>
      <c r="YY201" s="423"/>
      <c r="YZ201" s="423"/>
      <c r="ZA201" s="423"/>
      <c r="ZB201" s="423"/>
      <c r="ZC201" s="423"/>
      <c r="ZD201" s="423"/>
      <c r="ZE201" s="423"/>
      <c r="ZF201" s="423"/>
      <c r="ZG201" s="423"/>
      <c r="ZH201" s="423"/>
      <c r="ZI201" s="423"/>
      <c r="ZJ201" s="423"/>
      <c r="ZK201" s="423"/>
      <c r="ZL201" s="423"/>
      <c r="ZM201" s="423"/>
      <c r="ZN201" s="423"/>
      <c r="ZO201" s="423"/>
      <c r="ZP201" s="423"/>
      <c r="ZQ201" s="423"/>
      <c r="ZR201" s="423"/>
      <c r="ZS201" s="423"/>
      <c r="ZT201" s="423"/>
      <c r="ZU201" s="423"/>
      <c r="ZV201" s="423"/>
      <c r="ZW201" s="423"/>
      <c r="ZX201" s="423"/>
      <c r="ZY201" s="423"/>
      <c r="ZZ201" s="423"/>
      <c r="AAA201" s="423"/>
      <c r="AAB201" s="423"/>
      <c r="AAC201" s="423"/>
      <c r="AAD201" s="423"/>
      <c r="AAE201" s="423"/>
      <c r="AAF201" s="423"/>
      <c r="AAG201" s="423"/>
      <c r="AAH201" s="423"/>
      <c r="AAI201" s="423"/>
      <c r="AAJ201" s="423"/>
      <c r="AAK201" s="423"/>
      <c r="AAL201" s="423"/>
      <c r="AAM201" s="423"/>
      <c r="AAN201" s="423"/>
      <c r="AAO201" s="423"/>
      <c r="AAP201" s="423"/>
      <c r="AAQ201" s="423"/>
      <c r="AAR201" s="423"/>
      <c r="AAS201" s="423"/>
      <c r="AAT201" s="423"/>
      <c r="AAU201" s="423"/>
      <c r="AAV201" s="423"/>
      <c r="AAW201" s="423"/>
      <c r="AAX201" s="423"/>
      <c r="AAY201" s="423"/>
      <c r="AAZ201" s="423"/>
      <c r="ABA201" s="423"/>
      <c r="ABB201" s="423"/>
      <c r="ABC201" s="423"/>
      <c r="ABD201" s="423"/>
      <c r="ABE201" s="423"/>
      <c r="ABF201" s="423"/>
      <c r="ABG201" s="423"/>
      <c r="ABH201" s="423"/>
      <c r="ABI201" s="423"/>
      <c r="ABJ201" s="423"/>
      <c r="ABK201" s="423"/>
      <c r="ABL201" s="423"/>
      <c r="ABM201" s="423"/>
      <c r="ABN201" s="423"/>
      <c r="ABO201" s="423"/>
      <c r="ABP201" s="423"/>
      <c r="ABQ201" s="423"/>
      <c r="ABR201" s="423"/>
      <c r="ABS201" s="423"/>
      <c r="ABT201" s="423"/>
      <c r="ABU201" s="423"/>
      <c r="ABV201" s="423"/>
      <c r="ABW201" s="423"/>
      <c r="ABX201" s="423"/>
      <c r="ABY201" s="423"/>
      <c r="ABZ201" s="423"/>
      <c r="ACA201" s="423"/>
      <c r="ACB201" s="423"/>
      <c r="ACC201" s="423"/>
      <c r="ACD201" s="423"/>
      <c r="ACE201" s="423"/>
      <c r="ACF201" s="423"/>
      <c r="ACG201" s="423"/>
      <c r="ACH201" s="423"/>
      <c r="ACI201" s="423"/>
      <c r="ACJ201" s="423"/>
      <c r="ACK201" s="423"/>
      <c r="ACL201" s="423"/>
      <c r="ACM201" s="423"/>
      <c r="ACN201" s="423"/>
      <c r="ACO201" s="423"/>
      <c r="ACP201" s="423"/>
      <c r="ACQ201" s="423"/>
      <c r="ACR201" s="423"/>
      <c r="ACS201" s="423"/>
      <c r="ACT201" s="423"/>
      <c r="ACU201" s="423"/>
      <c r="ACV201" s="423"/>
      <c r="ACW201" s="423"/>
      <c r="ACX201" s="423"/>
      <c r="ACY201" s="423"/>
      <c r="ACZ201" s="423"/>
      <c r="ADA201" s="423"/>
      <c r="ADB201" s="423"/>
      <c r="ADC201" s="423"/>
      <c r="ADD201" s="423"/>
      <c r="ADE201" s="423"/>
      <c r="ADF201" s="423"/>
      <c r="ADG201" s="423"/>
      <c r="ADH201" s="423"/>
      <c r="ADI201" s="423"/>
      <c r="ADJ201" s="423"/>
      <c r="ADK201" s="423"/>
      <c r="ADL201" s="423"/>
      <c r="ADM201" s="423"/>
      <c r="ADN201" s="423"/>
      <c r="ADO201" s="423"/>
      <c r="ADP201" s="423"/>
      <c r="ADQ201" s="423"/>
      <c r="ADR201" s="423"/>
      <c r="ADS201" s="423"/>
      <c r="ADT201" s="423"/>
      <c r="ADU201" s="423"/>
      <c r="ADV201" s="423"/>
      <c r="ADW201" s="423"/>
      <c r="ADX201" s="423"/>
      <c r="ADY201" s="423"/>
      <c r="ADZ201" s="423"/>
      <c r="AEA201" s="423"/>
      <c r="AEB201" s="423"/>
      <c r="AEC201" s="423"/>
      <c r="AED201" s="423"/>
      <c r="AEE201" s="423"/>
      <c r="AEF201" s="423"/>
      <c r="AEG201" s="423"/>
      <c r="AEH201" s="423"/>
      <c r="AEI201" s="423"/>
      <c r="AEJ201" s="423"/>
      <c r="AEK201" s="423"/>
      <c r="AEL201" s="423"/>
      <c r="AEM201" s="423"/>
      <c r="AEN201" s="423"/>
      <c r="AEO201" s="423"/>
      <c r="AEP201" s="423"/>
      <c r="AEQ201" s="423"/>
      <c r="AER201" s="423"/>
      <c r="AES201" s="423"/>
      <c r="AET201" s="423"/>
      <c r="AEU201" s="423"/>
      <c r="AEV201" s="423"/>
      <c r="AEW201" s="423"/>
      <c r="AEX201" s="423"/>
      <c r="AEY201" s="423"/>
      <c r="AEZ201" s="423"/>
      <c r="AFA201" s="423"/>
      <c r="AFB201" s="423"/>
      <c r="AFC201" s="423"/>
      <c r="AFD201" s="423"/>
      <c r="AFE201" s="423"/>
      <c r="AFF201" s="423"/>
      <c r="AFG201" s="423"/>
      <c r="AFH201" s="423"/>
      <c r="AFI201" s="423"/>
      <c r="AFJ201" s="423"/>
      <c r="AFK201" s="423"/>
      <c r="AFL201" s="423"/>
      <c r="AFM201" s="423"/>
      <c r="AFN201" s="423"/>
      <c r="AFO201" s="423"/>
      <c r="AFP201" s="423"/>
      <c r="AFQ201" s="423"/>
      <c r="AFR201" s="423"/>
      <c r="AFS201" s="423"/>
      <c r="AFT201" s="423"/>
      <c r="AFU201" s="423"/>
      <c r="AFV201" s="423"/>
      <c r="AFW201" s="423"/>
      <c r="AFX201" s="423"/>
      <c r="AFY201" s="423"/>
      <c r="AFZ201" s="423"/>
      <c r="AGA201" s="423"/>
      <c r="AGB201" s="423"/>
      <c r="AGC201" s="423"/>
      <c r="AGD201" s="423"/>
      <c r="AGE201" s="423"/>
      <c r="AGF201" s="423"/>
      <c r="AGG201" s="423"/>
      <c r="AGH201" s="423"/>
      <c r="AGI201" s="423"/>
      <c r="AGJ201" s="423"/>
      <c r="AGK201" s="423"/>
      <c r="AGL201" s="423"/>
      <c r="AGM201" s="423"/>
      <c r="AGN201" s="423"/>
      <c r="AGO201" s="423"/>
      <c r="AGP201" s="423"/>
      <c r="AGQ201" s="423"/>
      <c r="AGR201" s="423"/>
      <c r="AGS201" s="423"/>
      <c r="AGT201" s="423"/>
      <c r="AGU201" s="423"/>
      <c r="AGV201" s="423"/>
      <c r="AGW201" s="423"/>
      <c r="AGX201" s="423"/>
      <c r="AGY201" s="423"/>
      <c r="AGZ201" s="423"/>
      <c r="AHA201" s="423"/>
      <c r="AHB201" s="423"/>
      <c r="AHC201" s="423"/>
      <c r="AHD201" s="423"/>
      <c r="AHE201" s="423"/>
      <c r="AHF201" s="423"/>
      <c r="AHG201" s="423"/>
      <c r="AHH201" s="423"/>
      <c r="AHI201" s="423"/>
      <c r="AHJ201" s="423"/>
      <c r="AHK201" s="423"/>
      <c r="AHL201" s="423"/>
      <c r="AHM201" s="423"/>
      <c r="AHN201" s="423"/>
      <c r="AHO201" s="423"/>
      <c r="AHP201" s="423"/>
      <c r="AHQ201" s="423"/>
      <c r="AHR201" s="423"/>
      <c r="AHS201" s="423"/>
      <c r="AHT201" s="423"/>
      <c r="AHU201" s="423"/>
      <c r="AHV201" s="423"/>
      <c r="AHW201" s="423"/>
      <c r="AHX201" s="423"/>
      <c r="AHY201" s="423"/>
      <c r="AHZ201" s="423"/>
      <c r="AIA201" s="423"/>
      <c r="AIB201" s="423"/>
      <c r="AIC201" s="423"/>
      <c r="AID201" s="423"/>
      <c r="AIE201" s="423"/>
      <c r="AIF201" s="423"/>
      <c r="AIG201" s="423"/>
      <c r="AIH201" s="423"/>
      <c r="AII201" s="423"/>
      <c r="AIJ201" s="423"/>
      <c r="AIK201" s="423"/>
      <c r="AIL201" s="423"/>
      <c r="AIM201" s="423"/>
      <c r="AIN201" s="423"/>
      <c r="AIO201" s="423"/>
      <c r="AIP201" s="423"/>
      <c r="AIQ201" s="423"/>
      <c r="AIR201" s="423"/>
      <c r="AIS201" s="423"/>
      <c r="AIT201" s="423"/>
      <c r="AIU201" s="423"/>
      <c r="AIV201" s="423"/>
      <c r="AIW201" s="423"/>
      <c r="AIX201" s="423"/>
      <c r="AIY201" s="423"/>
      <c r="AIZ201" s="423"/>
      <c r="AJA201" s="423"/>
      <c r="AJB201" s="423"/>
      <c r="AJC201" s="423"/>
      <c r="AJD201" s="423"/>
      <c r="AJE201" s="423"/>
      <c r="AJF201" s="423"/>
      <c r="AJG201" s="423"/>
      <c r="AJH201" s="423"/>
      <c r="AJI201" s="423"/>
      <c r="AJJ201" s="423"/>
      <c r="AJK201" s="423"/>
      <c r="AJL201" s="423"/>
      <c r="AJM201" s="423"/>
      <c r="AJN201" s="423"/>
      <c r="AJO201" s="423"/>
      <c r="AJP201" s="423"/>
      <c r="AJQ201" s="423"/>
      <c r="AJR201" s="423"/>
      <c r="AJS201" s="423"/>
      <c r="AJT201" s="423"/>
      <c r="AJU201" s="423"/>
      <c r="AJV201" s="423"/>
      <c r="AJW201" s="423"/>
      <c r="AJX201" s="423"/>
      <c r="AJY201" s="423"/>
      <c r="AJZ201" s="423"/>
      <c r="AKA201" s="423"/>
      <c r="AKB201" s="423"/>
      <c r="AKC201" s="423"/>
      <c r="AKD201" s="423"/>
      <c r="AKE201" s="423"/>
      <c r="AKF201" s="423"/>
      <c r="AKG201" s="423"/>
      <c r="AKH201" s="423"/>
      <c r="AKI201" s="423"/>
      <c r="AKJ201" s="423"/>
      <c r="AKK201" s="423"/>
      <c r="AKL201" s="423"/>
      <c r="AKM201" s="423"/>
      <c r="AKN201" s="423"/>
      <c r="AKO201" s="423"/>
      <c r="AKP201" s="423"/>
      <c r="AKQ201" s="423"/>
      <c r="AKR201" s="423"/>
      <c r="AKS201" s="423"/>
      <c r="AKT201" s="423"/>
      <c r="AKU201" s="423"/>
      <c r="AKV201" s="423"/>
      <c r="AKW201" s="423"/>
      <c r="AKX201" s="423"/>
      <c r="AKY201" s="423"/>
      <c r="AKZ201" s="423"/>
      <c r="ALA201" s="423"/>
      <c r="ALB201" s="423"/>
      <c r="ALC201" s="423"/>
      <c r="ALD201" s="423"/>
      <c r="ALE201" s="423"/>
      <c r="ALF201" s="423"/>
      <c r="ALG201" s="423"/>
      <c r="ALH201" s="423"/>
      <c r="ALI201" s="423"/>
      <c r="ALJ201" s="423"/>
      <c r="ALK201" s="423"/>
      <c r="ALL201" s="423"/>
      <c r="ALM201" s="423"/>
      <c r="ALN201" s="423"/>
      <c r="ALO201" s="423"/>
      <c r="ALP201" s="423"/>
      <c r="ALQ201" s="423"/>
      <c r="ALR201" s="423"/>
      <c r="ALS201" s="423"/>
      <c r="ALT201" s="423"/>
      <c r="ALU201" s="423"/>
      <c r="ALV201" s="423"/>
      <c r="ALW201" s="423"/>
      <c r="ALX201" s="423"/>
      <c r="ALY201" s="423"/>
      <c r="ALZ201" s="423"/>
      <c r="AMA201" s="423"/>
      <c r="AMB201" s="423"/>
      <c r="AMC201" s="423"/>
      <c r="AMD201" s="423"/>
      <c r="AME201" s="423"/>
      <c r="AMF201" s="423"/>
      <c r="AMG201" s="423"/>
      <c r="AMH201" s="423"/>
      <c r="AMI201" s="423"/>
      <c r="AMJ201" s="423"/>
      <c r="AMK201" s="423"/>
      <c r="AML201" s="423"/>
      <c r="AMM201" s="423"/>
      <c r="AMN201" s="423"/>
      <c r="AMO201" s="423"/>
      <c r="AMP201" s="423"/>
      <c r="AMQ201" s="423"/>
      <c r="AMR201" s="423"/>
      <c r="AMS201" s="423"/>
      <c r="AMT201" s="423"/>
      <c r="AMU201" s="423"/>
      <c r="AMV201" s="423"/>
      <c r="AMW201" s="423"/>
      <c r="AMX201" s="423"/>
      <c r="AMY201" s="423"/>
      <c r="AMZ201" s="423"/>
      <c r="ANA201" s="423"/>
      <c r="ANB201" s="423"/>
      <c r="ANC201" s="423"/>
      <c r="AND201" s="423"/>
      <c r="ANE201" s="423"/>
      <c r="ANF201" s="423"/>
      <c r="ANG201" s="423"/>
      <c r="ANH201" s="423"/>
      <c r="ANI201" s="423"/>
      <c r="ANJ201" s="423"/>
      <c r="ANK201" s="423"/>
      <c r="ANL201" s="423"/>
      <c r="ANM201" s="423"/>
      <c r="ANN201" s="423"/>
      <c r="ANO201" s="423"/>
      <c r="ANP201" s="423"/>
      <c r="ANQ201" s="423"/>
      <c r="ANR201" s="423"/>
      <c r="ANS201" s="423"/>
      <c r="ANT201" s="423"/>
      <c r="ANU201" s="423"/>
      <c r="ANV201" s="423"/>
      <c r="ANW201" s="423"/>
      <c r="ANX201" s="423"/>
      <c r="ANY201" s="423"/>
      <c r="ANZ201" s="423"/>
      <c r="AOA201" s="423"/>
      <c r="AOB201" s="423"/>
      <c r="AOC201" s="423"/>
      <c r="AOD201" s="423"/>
      <c r="AOE201" s="423"/>
      <c r="AOF201" s="423"/>
      <c r="AOG201" s="423"/>
      <c r="AOH201" s="423"/>
      <c r="AOI201" s="423"/>
      <c r="AOJ201" s="423"/>
      <c r="AOK201" s="423"/>
      <c r="AOL201" s="423"/>
      <c r="AOM201" s="423"/>
      <c r="AON201" s="423"/>
      <c r="AOO201" s="423"/>
      <c r="AOP201" s="423"/>
      <c r="AOQ201" s="423"/>
      <c r="AOR201" s="423"/>
      <c r="AOS201" s="423"/>
      <c r="AOT201" s="423"/>
      <c r="AOU201" s="423"/>
      <c r="AOV201" s="423"/>
      <c r="AOW201" s="423"/>
      <c r="AOX201" s="423"/>
      <c r="AOY201" s="423"/>
      <c r="AOZ201" s="423"/>
      <c r="APA201" s="423"/>
      <c r="APB201" s="423"/>
      <c r="APC201" s="423"/>
      <c r="APD201" s="423"/>
      <c r="APE201" s="423"/>
      <c r="APF201" s="423"/>
      <c r="APG201" s="423"/>
      <c r="APH201" s="423"/>
      <c r="API201" s="423"/>
      <c r="APJ201" s="423"/>
      <c r="APK201" s="423"/>
      <c r="APL201" s="423"/>
      <c r="APM201" s="423"/>
      <c r="APN201" s="423"/>
      <c r="APO201" s="423"/>
      <c r="APP201" s="423"/>
      <c r="APQ201" s="423"/>
      <c r="APR201" s="423"/>
      <c r="APS201" s="423"/>
      <c r="APT201" s="423"/>
      <c r="APU201" s="423"/>
      <c r="APV201" s="423"/>
      <c r="APW201" s="423"/>
      <c r="APX201" s="423"/>
      <c r="APY201" s="423"/>
      <c r="APZ201" s="423"/>
      <c r="AQA201" s="423"/>
      <c r="AQB201" s="423"/>
      <c r="AQC201" s="423"/>
      <c r="AQD201" s="423"/>
      <c r="AQE201" s="423"/>
      <c r="AQF201" s="423"/>
      <c r="AQG201" s="423"/>
      <c r="AQH201" s="423"/>
      <c r="AQI201" s="423"/>
      <c r="AQJ201" s="423"/>
      <c r="AQK201" s="423"/>
      <c r="AQL201" s="423"/>
      <c r="AQM201" s="423"/>
      <c r="AQN201" s="423"/>
      <c r="AQO201" s="423"/>
      <c r="AQP201" s="423"/>
      <c r="AQQ201" s="423"/>
      <c r="AQR201" s="423"/>
      <c r="AQS201" s="423"/>
      <c r="AQT201" s="423"/>
      <c r="AQU201" s="423"/>
      <c r="AQV201" s="423"/>
      <c r="AQW201" s="423"/>
      <c r="AQX201" s="423"/>
      <c r="AQY201" s="423"/>
      <c r="AQZ201" s="423"/>
      <c r="ARA201" s="423"/>
      <c r="ARB201" s="423"/>
      <c r="ARC201" s="423"/>
      <c r="ARD201" s="423"/>
      <c r="ARE201" s="423"/>
      <c r="ARF201" s="423"/>
      <c r="ARG201" s="423"/>
      <c r="ARH201" s="423"/>
      <c r="ARI201" s="423"/>
      <c r="ARJ201" s="423"/>
      <c r="ARK201" s="423"/>
      <c r="ARL201" s="423"/>
      <c r="ARM201" s="423"/>
      <c r="ARN201" s="423"/>
      <c r="ARO201" s="423"/>
      <c r="ARP201" s="423"/>
      <c r="ARQ201" s="423"/>
      <c r="ARR201" s="423"/>
      <c r="ARS201" s="423"/>
      <c r="ART201" s="423"/>
      <c r="ARU201" s="423"/>
      <c r="ARV201" s="423"/>
      <c r="ARW201" s="423"/>
      <c r="ARX201" s="423"/>
      <c r="ARY201" s="423"/>
      <c r="ARZ201" s="423"/>
      <c r="ASA201" s="423"/>
      <c r="ASB201" s="423"/>
      <c r="ASC201" s="423"/>
      <c r="ASD201" s="423"/>
      <c r="ASE201" s="423"/>
      <c r="ASF201" s="423"/>
      <c r="ASG201" s="423"/>
      <c r="ASH201" s="423"/>
      <c r="ASI201" s="423"/>
      <c r="ASJ201" s="423"/>
      <c r="ASK201" s="423"/>
      <c r="ASL201" s="423"/>
      <c r="ASM201" s="423"/>
      <c r="ASN201" s="423"/>
      <c r="ASO201" s="423"/>
      <c r="ASP201" s="423"/>
      <c r="ASQ201" s="423"/>
      <c r="ASR201" s="423"/>
      <c r="ASS201" s="423"/>
      <c r="AST201" s="423"/>
      <c r="ASU201" s="423"/>
      <c r="ASV201" s="423"/>
      <c r="ASW201" s="423"/>
      <c r="ASX201" s="423"/>
      <c r="ASY201" s="423"/>
      <c r="ASZ201" s="423"/>
      <c r="ATA201" s="423"/>
      <c r="ATB201" s="423"/>
      <c r="ATC201" s="423"/>
      <c r="ATD201" s="423"/>
      <c r="ATE201" s="423"/>
      <c r="ATF201" s="423"/>
      <c r="ATG201" s="423"/>
      <c r="ATH201" s="423"/>
      <c r="ATI201" s="423"/>
      <c r="ATJ201" s="423"/>
      <c r="ATK201" s="423"/>
      <c r="ATL201" s="423"/>
      <c r="ATM201" s="423"/>
      <c r="ATN201" s="423"/>
      <c r="ATO201" s="423"/>
      <c r="ATP201" s="423"/>
      <c r="ATQ201" s="423"/>
      <c r="ATR201" s="423"/>
      <c r="ATS201" s="423"/>
      <c r="ATT201" s="423"/>
      <c r="ATU201" s="423"/>
      <c r="ATV201" s="423"/>
      <c r="ATW201" s="423"/>
      <c r="ATX201" s="423"/>
      <c r="ATY201" s="423"/>
      <c r="ATZ201" s="423"/>
      <c r="AUA201" s="423"/>
      <c r="AUB201" s="423"/>
      <c r="AUC201" s="423"/>
      <c r="AUD201" s="423"/>
      <c r="AUE201" s="423"/>
      <c r="AUF201" s="423"/>
      <c r="AUG201" s="423"/>
    </row>
    <row r="202" spans="1:1229" s="302" customFormat="1" ht="0.6" customHeight="1" x14ac:dyDescent="0.4">
      <c r="A202" s="335" t="s">
        <v>292</v>
      </c>
      <c r="B202" s="291"/>
      <c r="C202" s="291"/>
      <c r="D202" s="292"/>
      <c r="E202" s="292"/>
      <c r="K202" s="423"/>
      <c r="L202" s="423"/>
      <c r="M202" s="423"/>
      <c r="N202" s="423"/>
      <c r="O202" s="423"/>
      <c r="P202" s="423"/>
      <c r="Q202" s="423"/>
      <c r="R202" s="423"/>
      <c r="S202" s="423"/>
      <c r="T202" s="423"/>
      <c r="U202" s="423"/>
      <c r="V202" s="423"/>
      <c r="W202" s="423"/>
      <c r="X202" s="423"/>
      <c r="Y202" s="423"/>
      <c r="Z202" s="423"/>
      <c r="AA202" s="423"/>
      <c r="AB202" s="423"/>
      <c r="AC202" s="423"/>
      <c r="AD202" s="423"/>
      <c r="AE202" s="423"/>
      <c r="AF202" s="423"/>
      <c r="AG202" s="423"/>
      <c r="AH202" s="423"/>
      <c r="AI202" s="423"/>
      <c r="AJ202" s="423"/>
      <c r="AK202" s="423"/>
      <c r="AL202" s="423"/>
      <c r="AM202" s="423"/>
      <c r="AN202" s="423"/>
      <c r="AO202" s="423"/>
      <c r="AP202" s="423"/>
      <c r="AQ202" s="423"/>
      <c r="AR202" s="423"/>
      <c r="AS202" s="423"/>
      <c r="AT202" s="423"/>
      <c r="AU202" s="423"/>
      <c r="AV202" s="423"/>
      <c r="AW202" s="423"/>
      <c r="AX202" s="423"/>
      <c r="AY202" s="423"/>
      <c r="AZ202" s="423"/>
      <c r="BA202" s="423"/>
      <c r="BB202" s="423"/>
      <c r="BC202" s="423"/>
      <c r="BD202" s="423"/>
      <c r="BE202" s="423"/>
      <c r="BF202" s="423"/>
      <c r="BG202" s="423"/>
      <c r="BH202" s="423"/>
      <c r="BI202" s="423"/>
      <c r="BJ202" s="423"/>
      <c r="BK202" s="423"/>
      <c r="BL202" s="423"/>
      <c r="BM202" s="423"/>
      <c r="BN202" s="423"/>
      <c r="BO202" s="423"/>
      <c r="BP202" s="423"/>
      <c r="BQ202" s="423"/>
      <c r="BR202" s="423"/>
      <c r="BS202" s="423"/>
      <c r="BT202" s="423"/>
      <c r="BU202" s="423"/>
      <c r="BV202" s="423"/>
      <c r="BW202" s="423"/>
      <c r="BX202" s="423"/>
      <c r="BY202" s="423"/>
      <c r="BZ202" s="423"/>
      <c r="CA202" s="423"/>
      <c r="CB202" s="423"/>
      <c r="CC202" s="423"/>
      <c r="CD202" s="423"/>
      <c r="CE202" s="423"/>
      <c r="CF202" s="423"/>
      <c r="CG202" s="423"/>
      <c r="CH202" s="423"/>
      <c r="CI202" s="423"/>
      <c r="CJ202" s="423"/>
      <c r="CK202" s="423"/>
      <c r="CL202" s="423"/>
      <c r="CM202" s="423"/>
      <c r="CN202" s="423"/>
      <c r="CO202" s="423"/>
      <c r="CP202" s="423"/>
      <c r="CQ202" s="423"/>
      <c r="CR202" s="423"/>
      <c r="CS202" s="423"/>
      <c r="CT202" s="423"/>
      <c r="CU202" s="423"/>
      <c r="CV202" s="423"/>
      <c r="CW202" s="423"/>
      <c r="CX202" s="423"/>
      <c r="CY202" s="423"/>
      <c r="CZ202" s="423"/>
      <c r="DA202" s="423"/>
      <c r="DB202" s="423"/>
      <c r="DC202" s="423"/>
      <c r="DD202" s="423"/>
      <c r="DE202" s="423"/>
      <c r="DF202" s="423"/>
      <c r="DG202" s="423"/>
      <c r="DH202" s="423"/>
      <c r="DI202" s="423"/>
      <c r="DJ202" s="423"/>
      <c r="DK202" s="423"/>
      <c r="DL202" s="423"/>
      <c r="DM202" s="423"/>
      <c r="DN202" s="423"/>
      <c r="DO202" s="423"/>
      <c r="DP202" s="423"/>
      <c r="DQ202" s="423"/>
      <c r="DR202" s="423"/>
      <c r="DS202" s="423"/>
      <c r="DT202" s="423"/>
      <c r="DU202" s="423"/>
      <c r="DV202" s="423"/>
      <c r="DW202" s="423"/>
      <c r="DX202" s="423"/>
      <c r="DY202" s="423"/>
      <c r="DZ202" s="423"/>
      <c r="EA202" s="423"/>
      <c r="EB202" s="423"/>
      <c r="EC202" s="423"/>
      <c r="ED202" s="423"/>
      <c r="EE202" s="423"/>
      <c r="EF202" s="423"/>
      <c r="EG202" s="423"/>
      <c r="EH202" s="423"/>
      <c r="EI202" s="423"/>
      <c r="EJ202" s="423"/>
      <c r="EK202" s="423"/>
      <c r="EL202" s="423"/>
      <c r="EM202" s="423"/>
      <c r="EN202" s="423"/>
      <c r="EO202" s="423"/>
      <c r="EP202" s="423"/>
      <c r="EQ202" s="423"/>
      <c r="ER202" s="423"/>
      <c r="ES202" s="423"/>
      <c r="ET202" s="423"/>
      <c r="EU202" s="423"/>
      <c r="EV202" s="423"/>
      <c r="EW202" s="423"/>
      <c r="EX202" s="423"/>
      <c r="EY202" s="423"/>
      <c r="EZ202" s="423"/>
      <c r="FA202" s="423"/>
      <c r="FB202" s="423"/>
      <c r="FC202" s="423"/>
      <c r="FD202" s="423"/>
      <c r="FE202" s="423"/>
      <c r="FF202" s="423"/>
      <c r="FG202" s="423"/>
      <c r="FH202" s="423"/>
      <c r="FI202" s="423"/>
      <c r="FJ202" s="423"/>
      <c r="FK202" s="423"/>
      <c r="FL202" s="423"/>
      <c r="FM202" s="423"/>
      <c r="FN202" s="423"/>
      <c r="FO202" s="423"/>
      <c r="FP202" s="423"/>
      <c r="FQ202" s="423"/>
      <c r="FR202" s="423"/>
      <c r="FS202" s="423"/>
      <c r="FT202" s="423"/>
      <c r="FU202" s="423"/>
      <c r="FV202" s="423"/>
      <c r="FW202" s="423"/>
      <c r="FX202" s="423"/>
      <c r="FY202" s="423"/>
      <c r="FZ202" s="423"/>
      <c r="GA202" s="423"/>
      <c r="GB202" s="423"/>
      <c r="GC202" s="423"/>
      <c r="GD202" s="423"/>
      <c r="GE202" s="423"/>
      <c r="GF202" s="423"/>
      <c r="GG202" s="423"/>
      <c r="GH202" s="423"/>
      <c r="GI202" s="423"/>
      <c r="GJ202" s="423"/>
      <c r="GK202" s="423"/>
      <c r="GL202" s="423"/>
      <c r="GM202" s="423"/>
      <c r="GN202" s="423"/>
      <c r="GO202" s="423"/>
      <c r="GP202" s="423"/>
      <c r="GQ202" s="423"/>
      <c r="GR202" s="423"/>
      <c r="GS202" s="423"/>
      <c r="GT202" s="423"/>
      <c r="GU202" s="423"/>
      <c r="GV202" s="423"/>
      <c r="GW202" s="423"/>
      <c r="GX202" s="423"/>
      <c r="GY202" s="423"/>
      <c r="GZ202" s="423"/>
      <c r="HA202" s="423"/>
      <c r="HB202" s="423"/>
      <c r="HC202" s="423"/>
      <c r="HD202" s="423"/>
      <c r="HE202" s="423"/>
      <c r="HF202" s="423"/>
      <c r="HG202" s="423"/>
      <c r="HH202" s="423"/>
      <c r="HI202" s="423"/>
      <c r="HJ202" s="423"/>
      <c r="HK202" s="423"/>
      <c r="HL202" s="423"/>
      <c r="HM202" s="423"/>
      <c r="HN202" s="423"/>
      <c r="HO202" s="423"/>
      <c r="HP202" s="423"/>
      <c r="HQ202" s="423"/>
      <c r="HR202" s="423"/>
      <c r="HS202" s="423"/>
      <c r="HT202" s="423"/>
      <c r="HU202" s="423"/>
      <c r="HV202" s="423"/>
      <c r="HW202" s="423"/>
      <c r="HX202" s="423"/>
      <c r="HY202" s="423"/>
      <c r="HZ202" s="423"/>
      <c r="IA202" s="423"/>
      <c r="IB202" s="423"/>
      <c r="IC202" s="423"/>
      <c r="ID202" s="423"/>
      <c r="IE202" s="423"/>
      <c r="IF202" s="423"/>
      <c r="IG202" s="423"/>
      <c r="IH202" s="423"/>
      <c r="II202" s="423"/>
      <c r="IJ202" s="423"/>
      <c r="IK202" s="423"/>
      <c r="IL202" s="423"/>
      <c r="IM202" s="423"/>
      <c r="IN202" s="423"/>
      <c r="IO202" s="423"/>
      <c r="IP202" s="423"/>
      <c r="IQ202" s="423"/>
      <c r="IR202" s="423"/>
      <c r="IS202" s="423"/>
      <c r="IT202" s="423"/>
      <c r="IU202" s="423"/>
      <c r="IV202" s="423"/>
      <c r="IW202" s="423"/>
      <c r="IX202" s="423"/>
      <c r="IY202" s="423"/>
      <c r="IZ202" s="423"/>
      <c r="JA202" s="423"/>
      <c r="JB202" s="423"/>
      <c r="JC202" s="423"/>
      <c r="JD202" s="423"/>
      <c r="JE202" s="423"/>
      <c r="JF202" s="423"/>
      <c r="JG202" s="423"/>
      <c r="JH202" s="423"/>
      <c r="JI202" s="423"/>
      <c r="JJ202" s="423"/>
      <c r="JK202" s="423"/>
      <c r="JL202" s="423"/>
      <c r="JM202" s="423"/>
      <c r="JN202" s="423"/>
      <c r="JO202" s="423"/>
      <c r="JP202" s="423"/>
      <c r="JQ202" s="423"/>
      <c r="JR202" s="423"/>
      <c r="JS202" s="423"/>
      <c r="JT202" s="423"/>
      <c r="JU202" s="423"/>
      <c r="JV202" s="423"/>
      <c r="JW202" s="423"/>
      <c r="JX202" s="423"/>
      <c r="JY202" s="423"/>
      <c r="JZ202" s="423"/>
      <c r="KA202" s="423"/>
      <c r="KB202" s="423"/>
      <c r="KC202" s="423"/>
      <c r="KD202" s="423"/>
      <c r="KE202" s="423"/>
      <c r="KF202" s="423"/>
      <c r="KG202" s="423"/>
      <c r="KH202" s="423"/>
      <c r="KI202" s="423"/>
      <c r="KJ202" s="423"/>
      <c r="KK202" s="423"/>
      <c r="KL202" s="423"/>
      <c r="KM202" s="423"/>
      <c r="KN202" s="423"/>
      <c r="KO202" s="423"/>
      <c r="KP202" s="423"/>
      <c r="KQ202" s="423"/>
      <c r="KR202" s="423"/>
      <c r="KS202" s="423"/>
      <c r="KT202" s="423"/>
      <c r="KU202" s="423"/>
      <c r="KV202" s="423"/>
      <c r="KW202" s="423"/>
      <c r="KX202" s="423"/>
      <c r="KY202" s="423"/>
      <c r="KZ202" s="423"/>
      <c r="LA202" s="423"/>
      <c r="LB202" s="423"/>
      <c r="LC202" s="423"/>
      <c r="LD202" s="423"/>
      <c r="LE202" s="423"/>
      <c r="LF202" s="423"/>
      <c r="LG202" s="423"/>
      <c r="LH202" s="423"/>
      <c r="LI202" s="423"/>
      <c r="LJ202" s="423"/>
      <c r="LK202" s="423"/>
      <c r="LL202" s="423"/>
      <c r="LM202" s="423"/>
      <c r="LN202" s="423"/>
      <c r="LO202" s="423"/>
      <c r="LP202" s="423"/>
      <c r="LQ202" s="423"/>
      <c r="LR202" s="423"/>
      <c r="LS202" s="423"/>
      <c r="LT202" s="423"/>
      <c r="LU202" s="423"/>
      <c r="LV202" s="423"/>
      <c r="LW202" s="423"/>
      <c r="LX202" s="423"/>
      <c r="LY202" s="423"/>
      <c r="LZ202" s="423"/>
      <c r="MA202" s="423"/>
      <c r="MB202" s="423"/>
      <c r="MC202" s="423"/>
      <c r="MD202" s="423"/>
      <c r="ME202" s="423"/>
      <c r="MF202" s="423"/>
      <c r="MG202" s="423"/>
      <c r="MH202" s="423"/>
      <c r="MI202" s="423"/>
      <c r="MJ202" s="423"/>
      <c r="MK202" s="423"/>
      <c r="ML202" s="423"/>
      <c r="MM202" s="423"/>
      <c r="MN202" s="423"/>
      <c r="MO202" s="423"/>
      <c r="MP202" s="423"/>
      <c r="MQ202" s="423"/>
      <c r="MR202" s="423"/>
      <c r="MS202" s="423"/>
      <c r="MT202" s="423"/>
      <c r="MU202" s="423"/>
      <c r="MV202" s="423"/>
      <c r="MW202" s="423"/>
      <c r="MX202" s="423"/>
      <c r="MY202" s="423"/>
      <c r="MZ202" s="423"/>
      <c r="NA202" s="423"/>
      <c r="NB202" s="423"/>
      <c r="NC202" s="423"/>
      <c r="ND202" s="423"/>
      <c r="NE202" s="423"/>
      <c r="NF202" s="423"/>
      <c r="NG202" s="423"/>
      <c r="NH202" s="423"/>
      <c r="NI202" s="423"/>
      <c r="NJ202" s="423"/>
      <c r="NK202" s="423"/>
      <c r="NL202" s="423"/>
      <c r="NM202" s="423"/>
      <c r="NN202" s="423"/>
      <c r="NO202" s="423"/>
      <c r="NP202" s="423"/>
      <c r="NQ202" s="423"/>
      <c r="NR202" s="423"/>
      <c r="NS202" s="423"/>
      <c r="NT202" s="423"/>
      <c r="NU202" s="423"/>
      <c r="NV202" s="423"/>
      <c r="NW202" s="423"/>
      <c r="NX202" s="423"/>
      <c r="NY202" s="423"/>
      <c r="NZ202" s="423"/>
      <c r="OA202" s="423"/>
      <c r="OB202" s="423"/>
      <c r="OC202" s="423"/>
      <c r="OD202" s="423"/>
      <c r="OE202" s="423"/>
      <c r="OF202" s="423"/>
      <c r="OG202" s="423"/>
      <c r="OH202" s="423"/>
      <c r="OI202" s="423"/>
      <c r="OJ202" s="423"/>
      <c r="OK202" s="423"/>
      <c r="OL202" s="423"/>
      <c r="OM202" s="423"/>
      <c r="ON202" s="423"/>
      <c r="OO202" s="423"/>
      <c r="OP202" s="423"/>
      <c r="OQ202" s="423"/>
      <c r="OR202" s="423"/>
      <c r="OS202" s="423"/>
      <c r="OT202" s="423"/>
      <c r="OU202" s="423"/>
      <c r="OV202" s="423"/>
      <c r="OW202" s="423"/>
      <c r="OX202" s="423"/>
      <c r="OY202" s="423"/>
      <c r="OZ202" s="423"/>
      <c r="PA202" s="423"/>
      <c r="PB202" s="423"/>
      <c r="PC202" s="423"/>
      <c r="PD202" s="423"/>
      <c r="PE202" s="423"/>
      <c r="PF202" s="423"/>
      <c r="PG202" s="423"/>
      <c r="PH202" s="423"/>
      <c r="PI202" s="423"/>
      <c r="PJ202" s="423"/>
      <c r="PK202" s="423"/>
      <c r="PL202" s="423"/>
      <c r="PM202" s="423"/>
      <c r="PN202" s="423"/>
      <c r="PO202" s="423"/>
      <c r="PP202" s="423"/>
      <c r="PQ202" s="423"/>
      <c r="PR202" s="423"/>
      <c r="PS202" s="423"/>
      <c r="PT202" s="423"/>
      <c r="PU202" s="423"/>
      <c r="PV202" s="423"/>
      <c r="PW202" s="423"/>
      <c r="PX202" s="423"/>
      <c r="PY202" s="423"/>
      <c r="PZ202" s="423"/>
      <c r="QA202" s="423"/>
      <c r="QB202" s="423"/>
      <c r="QC202" s="423"/>
      <c r="QD202" s="423"/>
      <c r="QE202" s="423"/>
      <c r="QF202" s="423"/>
      <c r="QG202" s="423"/>
      <c r="QH202" s="423"/>
      <c r="QI202" s="423"/>
      <c r="QJ202" s="423"/>
      <c r="QK202" s="423"/>
      <c r="QL202" s="423"/>
      <c r="QM202" s="423"/>
      <c r="QN202" s="423"/>
      <c r="QO202" s="423"/>
      <c r="QP202" s="423"/>
      <c r="QQ202" s="423"/>
      <c r="QR202" s="423"/>
      <c r="QS202" s="423"/>
      <c r="QT202" s="423"/>
      <c r="QU202" s="423"/>
      <c r="QV202" s="423"/>
      <c r="QW202" s="423"/>
      <c r="QX202" s="423"/>
      <c r="QY202" s="423"/>
      <c r="QZ202" s="423"/>
      <c r="RA202" s="423"/>
      <c r="RB202" s="423"/>
      <c r="RC202" s="423"/>
      <c r="RD202" s="423"/>
      <c r="RE202" s="423"/>
      <c r="RF202" s="423"/>
      <c r="RG202" s="423"/>
      <c r="RH202" s="423"/>
      <c r="RI202" s="423"/>
      <c r="RJ202" s="423"/>
      <c r="RK202" s="423"/>
      <c r="RL202" s="423"/>
      <c r="RM202" s="423"/>
      <c r="RN202" s="423"/>
      <c r="RO202" s="423"/>
      <c r="RP202" s="423"/>
      <c r="RQ202" s="423"/>
      <c r="RR202" s="423"/>
      <c r="RS202" s="423"/>
      <c r="RT202" s="423"/>
      <c r="RU202" s="423"/>
      <c r="RV202" s="423"/>
      <c r="RW202" s="423"/>
      <c r="RX202" s="423"/>
      <c r="RY202" s="423"/>
      <c r="RZ202" s="423"/>
      <c r="SA202" s="423"/>
      <c r="SB202" s="423"/>
      <c r="SC202" s="423"/>
      <c r="SD202" s="423"/>
      <c r="SE202" s="423"/>
      <c r="SF202" s="423"/>
      <c r="SG202" s="423"/>
      <c r="SH202" s="423"/>
      <c r="SI202" s="423"/>
      <c r="SJ202" s="423"/>
      <c r="SK202" s="423"/>
      <c r="SL202" s="423"/>
      <c r="SM202" s="423"/>
      <c r="SN202" s="423"/>
      <c r="SO202" s="423"/>
      <c r="SP202" s="423"/>
      <c r="SQ202" s="423"/>
      <c r="SR202" s="423"/>
      <c r="SS202" s="423"/>
      <c r="ST202" s="423"/>
      <c r="SU202" s="423"/>
      <c r="SV202" s="423"/>
      <c r="SW202" s="423"/>
      <c r="SX202" s="423"/>
      <c r="SY202" s="423"/>
      <c r="SZ202" s="423"/>
      <c r="TA202" s="423"/>
      <c r="TB202" s="423"/>
      <c r="TC202" s="423"/>
      <c r="TD202" s="423"/>
      <c r="TE202" s="423"/>
      <c r="TF202" s="423"/>
      <c r="TG202" s="423"/>
      <c r="TH202" s="423"/>
      <c r="TI202" s="423"/>
      <c r="TJ202" s="423"/>
      <c r="TK202" s="423"/>
      <c r="TL202" s="423"/>
      <c r="TM202" s="423"/>
      <c r="TN202" s="423"/>
      <c r="TO202" s="423"/>
      <c r="TP202" s="423"/>
      <c r="TQ202" s="423"/>
      <c r="TR202" s="423"/>
      <c r="TS202" s="423"/>
      <c r="TT202" s="423"/>
      <c r="TU202" s="423"/>
      <c r="TV202" s="423"/>
      <c r="TW202" s="423"/>
      <c r="TX202" s="423"/>
      <c r="TY202" s="423"/>
      <c r="TZ202" s="423"/>
      <c r="UA202" s="423"/>
      <c r="UB202" s="423"/>
      <c r="UC202" s="423"/>
      <c r="UD202" s="423"/>
      <c r="UE202" s="423"/>
      <c r="UF202" s="423"/>
      <c r="UG202" s="423"/>
      <c r="UH202" s="423"/>
      <c r="UI202" s="423"/>
      <c r="UJ202" s="423"/>
      <c r="UK202" s="423"/>
      <c r="UL202" s="423"/>
      <c r="UM202" s="423"/>
      <c r="UN202" s="423"/>
      <c r="UO202" s="423"/>
      <c r="UP202" s="423"/>
      <c r="UQ202" s="423"/>
      <c r="UR202" s="423"/>
      <c r="US202" s="423"/>
      <c r="UT202" s="423"/>
      <c r="UU202" s="423"/>
      <c r="UV202" s="423"/>
      <c r="UW202" s="423"/>
      <c r="UX202" s="423"/>
      <c r="UY202" s="423"/>
      <c r="UZ202" s="423"/>
      <c r="VA202" s="423"/>
      <c r="VB202" s="423"/>
      <c r="VC202" s="423"/>
      <c r="VD202" s="423"/>
      <c r="VE202" s="423"/>
      <c r="VF202" s="423"/>
      <c r="VG202" s="423"/>
      <c r="VH202" s="423"/>
      <c r="VI202" s="423"/>
      <c r="VJ202" s="423"/>
      <c r="VK202" s="423"/>
      <c r="VL202" s="423"/>
      <c r="VM202" s="423"/>
      <c r="VN202" s="423"/>
      <c r="VO202" s="423"/>
      <c r="VP202" s="423"/>
      <c r="VQ202" s="423"/>
      <c r="VR202" s="423"/>
      <c r="VS202" s="423"/>
      <c r="VT202" s="423"/>
      <c r="VU202" s="423"/>
      <c r="VV202" s="423"/>
      <c r="VW202" s="423"/>
      <c r="VX202" s="423"/>
      <c r="VY202" s="423"/>
      <c r="VZ202" s="423"/>
      <c r="WA202" s="423"/>
      <c r="WB202" s="423"/>
      <c r="WC202" s="423"/>
      <c r="WD202" s="423"/>
      <c r="WE202" s="423"/>
      <c r="WF202" s="423"/>
      <c r="WG202" s="423"/>
      <c r="WH202" s="423"/>
      <c r="WI202" s="423"/>
      <c r="WJ202" s="423"/>
      <c r="WK202" s="423"/>
      <c r="WL202" s="423"/>
      <c r="WM202" s="423"/>
      <c r="WN202" s="423"/>
      <c r="WO202" s="423"/>
      <c r="WP202" s="423"/>
      <c r="WQ202" s="423"/>
      <c r="WR202" s="423"/>
      <c r="WS202" s="423"/>
      <c r="WT202" s="423"/>
      <c r="WU202" s="423"/>
      <c r="WV202" s="423"/>
      <c r="WW202" s="423"/>
      <c r="WX202" s="423"/>
      <c r="WY202" s="423"/>
      <c r="WZ202" s="423"/>
      <c r="XA202" s="423"/>
      <c r="XB202" s="423"/>
      <c r="XC202" s="423"/>
      <c r="XD202" s="423"/>
      <c r="XE202" s="423"/>
      <c r="XF202" s="423"/>
      <c r="XG202" s="423"/>
      <c r="XH202" s="423"/>
      <c r="XI202" s="423"/>
      <c r="XJ202" s="423"/>
      <c r="XK202" s="423"/>
      <c r="XL202" s="423"/>
      <c r="XM202" s="423"/>
      <c r="XN202" s="423"/>
      <c r="XO202" s="423"/>
      <c r="XP202" s="423"/>
      <c r="XQ202" s="423"/>
      <c r="XR202" s="423"/>
      <c r="XS202" s="423"/>
      <c r="XT202" s="423"/>
      <c r="XU202" s="423"/>
      <c r="XV202" s="423"/>
      <c r="XW202" s="423"/>
      <c r="XX202" s="423"/>
      <c r="XY202" s="423"/>
      <c r="XZ202" s="423"/>
      <c r="YA202" s="423"/>
      <c r="YB202" s="423"/>
      <c r="YC202" s="423"/>
      <c r="YD202" s="423"/>
      <c r="YE202" s="423"/>
      <c r="YF202" s="423"/>
      <c r="YG202" s="423"/>
      <c r="YH202" s="423"/>
      <c r="YI202" s="423"/>
      <c r="YJ202" s="423"/>
      <c r="YK202" s="423"/>
      <c r="YL202" s="423"/>
      <c r="YM202" s="423"/>
      <c r="YN202" s="423"/>
      <c r="YO202" s="423"/>
      <c r="YP202" s="423"/>
      <c r="YQ202" s="423"/>
      <c r="YR202" s="423"/>
      <c r="YS202" s="423"/>
      <c r="YT202" s="423"/>
      <c r="YU202" s="423"/>
      <c r="YV202" s="423"/>
      <c r="YW202" s="423"/>
      <c r="YX202" s="423"/>
      <c r="YY202" s="423"/>
      <c r="YZ202" s="423"/>
      <c r="ZA202" s="423"/>
      <c r="ZB202" s="423"/>
      <c r="ZC202" s="423"/>
      <c r="ZD202" s="423"/>
      <c r="ZE202" s="423"/>
      <c r="ZF202" s="423"/>
      <c r="ZG202" s="423"/>
      <c r="ZH202" s="423"/>
      <c r="ZI202" s="423"/>
      <c r="ZJ202" s="423"/>
      <c r="ZK202" s="423"/>
      <c r="ZL202" s="423"/>
      <c r="ZM202" s="423"/>
      <c r="ZN202" s="423"/>
      <c r="ZO202" s="423"/>
      <c r="ZP202" s="423"/>
      <c r="ZQ202" s="423"/>
      <c r="ZR202" s="423"/>
      <c r="ZS202" s="423"/>
      <c r="ZT202" s="423"/>
      <c r="ZU202" s="423"/>
      <c r="ZV202" s="423"/>
      <c r="ZW202" s="423"/>
      <c r="ZX202" s="423"/>
      <c r="ZY202" s="423"/>
      <c r="ZZ202" s="423"/>
      <c r="AAA202" s="423"/>
      <c r="AAB202" s="423"/>
      <c r="AAC202" s="423"/>
      <c r="AAD202" s="423"/>
      <c r="AAE202" s="423"/>
      <c r="AAF202" s="423"/>
      <c r="AAG202" s="423"/>
      <c r="AAH202" s="423"/>
      <c r="AAI202" s="423"/>
      <c r="AAJ202" s="423"/>
      <c r="AAK202" s="423"/>
      <c r="AAL202" s="423"/>
      <c r="AAM202" s="423"/>
      <c r="AAN202" s="423"/>
      <c r="AAO202" s="423"/>
      <c r="AAP202" s="423"/>
      <c r="AAQ202" s="423"/>
      <c r="AAR202" s="423"/>
      <c r="AAS202" s="423"/>
      <c r="AAT202" s="423"/>
      <c r="AAU202" s="423"/>
      <c r="AAV202" s="423"/>
      <c r="AAW202" s="423"/>
      <c r="AAX202" s="423"/>
      <c r="AAY202" s="423"/>
      <c r="AAZ202" s="423"/>
      <c r="ABA202" s="423"/>
      <c r="ABB202" s="423"/>
      <c r="ABC202" s="423"/>
      <c r="ABD202" s="423"/>
      <c r="ABE202" s="423"/>
      <c r="ABF202" s="423"/>
      <c r="ABG202" s="423"/>
      <c r="ABH202" s="423"/>
      <c r="ABI202" s="423"/>
      <c r="ABJ202" s="423"/>
      <c r="ABK202" s="423"/>
      <c r="ABL202" s="423"/>
      <c r="ABM202" s="423"/>
      <c r="ABN202" s="423"/>
      <c r="ABO202" s="423"/>
      <c r="ABP202" s="423"/>
      <c r="ABQ202" s="423"/>
      <c r="ABR202" s="423"/>
      <c r="ABS202" s="423"/>
      <c r="ABT202" s="423"/>
      <c r="ABU202" s="423"/>
      <c r="ABV202" s="423"/>
      <c r="ABW202" s="423"/>
      <c r="ABX202" s="423"/>
      <c r="ABY202" s="423"/>
      <c r="ABZ202" s="423"/>
      <c r="ACA202" s="423"/>
      <c r="ACB202" s="423"/>
      <c r="ACC202" s="423"/>
      <c r="ACD202" s="423"/>
      <c r="ACE202" s="423"/>
      <c r="ACF202" s="423"/>
      <c r="ACG202" s="423"/>
      <c r="ACH202" s="423"/>
      <c r="ACI202" s="423"/>
      <c r="ACJ202" s="423"/>
      <c r="ACK202" s="423"/>
      <c r="ACL202" s="423"/>
      <c r="ACM202" s="423"/>
      <c r="ACN202" s="423"/>
      <c r="ACO202" s="423"/>
      <c r="ACP202" s="423"/>
      <c r="ACQ202" s="423"/>
      <c r="ACR202" s="423"/>
      <c r="ACS202" s="423"/>
      <c r="ACT202" s="423"/>
      <c r="ACU202" s="423"/>
      <c r="ACV202" s="423"/>
      <c r="ACW202" s="423"/>
      <c r="ACX202" s="423"/>
      <c r="ACY202" s="423"/>
      <c r="ACZ202" s="423"/>
      <c r="ADA202" s="423"/>
      <c r="ADB202" s="423"/>
      <c r="ADC202" s="423"/>
      <c r="ADD202" s="423"/>
      <c r="ADE202" s="423"/>
      <c r="ADF202" s="423"/>
      <c r="ADG202" s="423"/>
      <c r="ADH202" s="423"/>
      <c r="ADI202" s="423"/>
      <c r="ADJ202" s="423"/>
      <c r="ADK202" s="423"/>
      <c r="ADL202" s="423"/>
      <c r="ADM202" s="423"/>
      <c r="ADN202" s="423"/>
      <c r="ADO202" s="423"/>
      <c r="ADP202" s="423"/>
      <c r="ADQ202" s="423"/>
      <c r="ADR202" s="423"/>
      <c r="ADS202" s="423"/>
      <c r="ADT202" s="423"/>
      <c r="ADU202" s="423"/>
      <c r="ADV202" s="423"/>
      <c r="ADW202" s="423"/>
      <c r="ADX202" s="423"/>
      <c r="ADY202" s="423"/>
      <c r="ADZ202" s="423"/>
      <c r="AEA202" s="423"/>
      <c r="AEB202" s="423"/>
      <c r="AEC202" s="423"/>
      <c r="AED202" s="423"/>
      <c r="AEE202" s="423"/>
      <c r="AEF202" s="423"/>
      <c r="AEG202" s="423"/>
      <c r="AEH202" s="423"/>
      <c r="AEI202" s="423"/>
      <c r="AEJ202" s="423"/>
      <c r="AEK202" s="423"/>
      <c r="AEL202" s="423"/>
      <c r="AEM202" s="423"/>
      <c r="AEN202" s="423"/>
      <c r="AEO202" s="423"/>
      <c r="AEP202" s="423"/>
      <c r="AEQ202" s="423"/>
      <c r="AER202" s="423"/>
      <c r="AES202" s="423"/>
      <c r="AET202" s="423"/>
      <c r="AEU202" s="423"/>
      <c r="AEV202" s="423"/>
      <c r="AEW202" s="423"/>
      <c r="AEX202" s="423"/>
      <c r="AEY202" s="423"/>
      <c r="AEZ202" s="423"/>
      <c r="AFA202" s="423"/>
      <c r="AFB202" s="423"/>
      <c r="AFC202" s="423"/>
      <c r="AFD202" s="423"/>
      <c r="AFE202" s="423"/>
      <c r="AFF202" s="423"/>
      <c r="AFG202" s="423"/>
      <c r="AFH202" s="423"/>
      <c r="AFI202" s="423"/>
      <c r="AFJ202" s="423"/>
      <c r="AFK202" s="423"/>
      <c r="AFL202" s="423"/>
      <c r="AFM202" s="423"/>
      <c r="AFN202" s="423"/>
      <c r="AFO202" s="423"/>
      <c r="AFP202" s="423"/>
      <c r="AFQ202" s="423"/>
      <c r="AFR202" s="423"/>
      <c r="AFS202" s="423"/>
      <c r="AFT202" s="423"/>
      <c r="AFU202" s="423"/>
      <c r="AFV202" s="423"/>
      <c r="AFW202" s="423"/>
      <c r="AFX202" s="423"/>
      <c r="AFY202" s="423"/>
      <c r="AFZ202" s="423"/>
      <c r="AGA202" s="423"/>
      <c r="AGB202" s="423"/>
      <c r="AGC202" s="423"/>
      <c r="AGD202" s="423"/>
      <c r="AGE202" s="423"/>
      <c r="AGF202" s="423"/>
      <c r="AGG202" s="423"/>
      <c r="AGH202" s="423"/>
      <c r="AGI202" s="423"/>
      <c r="AGJ202" s="423"/>
      <c r="AGK202" s="423"/>
      <c r="AGL202" s="423"/>
      <c r="AGM202" s="423"/>
      <c r="AGN202" s="423"/>
      <c r="AGO202" s="423"/>
      <c r="AGP202" s="423"/>
      <c r="AGQ202" s="423"/>
      <c r="AGR202" s="423"/>
      <c r="AGS202" s="423"/>
      <c r="AGT202" s="423"/>
      <c r="AGU202" s="423"/>
      <c r="AGV202" s="423"/>
      <c r="AGW202" s="423"/>
      <c r="AGX202" s="423"/>
      <c r="AGY202" s="423"/>
      <c r="AGZ202" s="423"/>
      <c r="AHA202" s="423"/>
      <c r="AHB202" s="423"/>
      <c r="AHC202" s="423"/>
      <c r="AHD202" s="423"/>
      <c r="AHE202" s="423"/>
      <c r="AHF202" s="423"/>
      <c r="AHG202" s="423"/>
      <c r="AHH202" s="423"/>
      <c r="AHI202" s="423"/>
      <c r="AHJ202" s="423"/>
      <c r="AHK202" s="423"/>
      <c r="AHL202" s="423"/>
      <c r="AHM202" s="423"/>
      <c r="AHN202" s="423"/>
      <c r="AHO202" s="423"/>
      <c r="AHP202" s="423"/>
      <c r="AHQ202" s="423"/>
      <c r="AHR202" s="423"/>
      <c r="AHS202" s="423"/>
      <c r="AHT202" s="423"/>
      <c r="AHU202" s="423"/>
      <c r="AHV202" s="423"/>
      <c r="AHW202" s="423"/>
      <c r="AHX202" s="423"/>
      <c r="AHY202" s="423"/>
      <c r="AHZ202" s="423"/>
      <c r="AIA202" s="423"/>
      <c r="AIB202" s="423"/>
      <c r="AIC202" s="423"/>
      <c r="AID202" s="423"/>
      <c r="AIE202" s="423"/>
      <c r="AIF202" s="423"/>
      <c r="AIG202" s="423"/>
      <c r="AIH202" s="423"/>
      <c r="AII202" s="423"/>
      <c r="AIJ202" s="423"/>
      <c r="AIK202" s="423"/>
      <c r="AIL202" s="423"/>
      <c r="AIM202" s="423"/>
      <c r="AIN202" s="423"/>
      <c r="AIO202" s="423"/>
      <c r="AIP202" s="423"/>
      <c r="AIQ202" s="423"/>
      <c r="AIR202" s="423"/>
      <c r="AIS202" s="423"/>
      <c r="AIT202" s="423"/>
      <c r="AIU202" s="423"/>
      <c r="AIV202" s="423"/>
      <c r="AIW202" s="423"/>
      <c r="AIX202" s="423"/>
      <c r="AIY202" s="423"/>
      <c r="AIZ202" s="423"/>
      <c r="AJA202" s="423"/>
      <c r="AJB202" s="423"/>
      <c r="AJC202" s="423"/>
      <c r="AJD202" s="423"/>
      <c r="AJE202" s="423"/>
      <c r="AJF202" s="423"/>
      <c r="AJG202" s="423"/>
      <c r="AJH202" s="423"/>
      <c r="AJI202" s="423"/>
      <c r="AJJ202" s="423"/>
      <c r="AJK202" s="423"/>
      <c r="AJL202" s="423"/>
      <c r="AJM202" s="423"/>
      <c r="AJN202" s="423"/>
      <c r="AJO202" s="423"/>
      <c r="AJP202" s="423"/>
      <c r="AJQ202" s="423"/>
      <c r="AJR202" s="423"/>
      <c r="AJS202" s="423"/>
      <c r="AJT202" s="423"/>
      <c r="AJU202" s="423"/>
      <c r="AJV202" s="423"/>
      <c r="AJW202" s="423"/>
      <c r="AJX202" s="423"/>
      <c r="AJY202" s="423"/>
      <c r="AJZ202" s="423"/>
      <c r="AKA202" s="423"/>
      <c r="AKB202" s="423"/>
      <c r="AKC202" s="423"/>
      <c r="AKD202" s="423"/>
      <c r="AKE202" s="423"/>
      <c r="AKF202" s="423"/>
      <c r="AKG202" s="423"/>
      <c r="AKH202" s="423"/>
      <c r="AKI202" s="423"/>
      <c r="AKJ202" s="423"/>
      <c r="AKK202" s="423"/>
      <c r="AKL202" s="423"/>
      <c r="AKM202" s="423"/>
      <c r="AKN202" s="423"/>
      <c r="AKO202" s="423"/>
      <c r="AKP202" s="423"/>
      <c r="AKQ202" s="423"/>
      <c r="AKR202" s="423"/>
      <c r="AKS202" s="423"/>
      <c r="AKT202" s="423"/>
      <c r="AKU202" s="423"/>
      <c r="AKV202" s="423"/>
      <c r="AKW202" s="423"/>
      <c r="AKX202" s="423"/>
      <c r="AKY202" s="423"/>
      <c r="AKZ202" s="423"/>
      <c r="ALA202" s="423"/>
      <c r="ALB202" s="423"/>
      <c r="ALC202" s="423"/>
      <c r="ALD202" s="423"/>
      <c r="ALE202" s="423"/>
      <c r="ALF202" s="423"/>
      <c r="ALG202" s="423"/>
      <c r="ALH202" s="423"/>
      <c r="ALI202" s="423"/>
      <c r="ALJ202" s="423"/>
      <c r="ALK202" s="423"/>
      <c r="ALL202" s="423"/>
      <c r="ALM202" s="423"/>
      <c r="ALN202" s="423"/>
      <c r="ALO202" s="423"/>
      <c r="ALP202" s="423"/>
      <c r="ALQ202" s="423"/>
      <c r="ALR202" s="423"/>
      <c r="ALS202" s="423"/>
      <c r="ALT202" s="423"/>
      <c r="ALU202" s="423"/>
      <c r="ALV202" s="423"/>
      <c r="ALW202" s="423"/>
      <c r="ALX202" s="423"/>
      <c r="ALY202" s="423"/>
      <c r="ALZ202" s="423"/>
      <c r="AMA202" s="423"/>
      <c r="AMB202" s="423"/>
      <c r="AMC202" s="423"/>
      <c r="AMD202" s="423"/>
      <c r="AME202" s="423"/>
      <c r="AMF202" s="423"/>
      <c r="AMG202" s="423"/>
      <c r="AMH202" s="423"/>
      <c r="AMI202" s="423"/>
      <c r="AMJ202" s="423"/>
      <c r="AMK202" s="423"/>
      <c r="AML202" s="423"/>
      <c r="AMM202" s="423"/>
      <c r="AMN202" s="423"/>
      <c r="AMO202" s="423"/>
      <c r="AMP202" s="423"/>
      <c r="AMQ202" s="423"/>
      <c r="AMR202" s="423"/>
      <c r="AMS202" s="423"/>
      <c r="AMT202" s="423"/>
      <c r="AMU202" s="423"/>
      <c r="AMV202" s="423"/>
      <c r="AMW202" s="423"/>
      <c r="AMX202" s="423"/>
      <c r="AMY202" s="423"/>
      <c r="AMZ202" s="423"/>
      <c r="ANA202" s="423"/>
      <c r="ANB202" s="423"/>
      <c r="ANC202" s="423"/>
      <c r="AND202" s="423"/>
      <c r="ANE202" s="423"/>
      <c r="ANF202" s="423"/>
      <c r="ANG202" s="423"/>
      <c r="ANH202" s="423"/>
      <c r="ANI202" s="423"/>
      <c r="ANJ202" s="423"/>
      <c r="ANK202" s="423"/>
      <c r="ANL202" s="423"/>
      <c r="ANM202" s="423"/>
      <c r="ANN202" s="423"/>
      <c r="ANO202" s="423"/>
      <c r="ANP202" s="423"/>
      <c r="ANQ202" s="423"/>
      <c r="ANR202" s="423"/>
      <c r="ANS202" s="423"/>
      <c r="ANT202" s="423"/>
      <c r="ANU202" s="423"/>
      <c r="ANV202" s="423"/>
      <c r="ANW202" s="423"/>
      <c r="ANX202" s="423"/>
      <c r="ANY202" s="423"/>
      <c r="ANZ202" s="423"/>
      <c r="AOA202" s="423"/>
      <c r="AOB202" s="423"/>
      <c r="AOC202" s="423"/>
      <c r="AOD202" s="423"/>
      <c r="AOE202" s="423"/>
      <c r="AOF202" s="423"/>
      <c r="AOG202" s="423"/>
      <c r="AOH202" s="423"/>
      <c r="AOI202" s="423"/>
      <c r="AOJ202" s="423"/>
      <c r="AOK202" s="423"/>
      <c r="AOL202" s="423"/>
      <c r="AOM202" s="423"/>
      <c r="AON202" s="423"/>
      <c r="AOO202" s="423"/>
      <c r="AOP202" s="423"/>
      <c r="AOQ202" s="423"/>
      <c r="AOR202" s="423"/>
      <c r="AOS202" s="423"/>
      <c r="AOT202" s="423"/>
      <c r="AOU202" s="423"/>
      <c r="AOV202" s="423"/>
      <c r="AOW202" s="423"/>
      <c r="AOX202" s="423"/>
      <c r="AOY202" s="423"/>
      <c r="AOZ202" s="423"/>
      <c r="APA202" s="423"/>
      <c r="APB202" s="423"/>
      <c r="APC202" s="423"/>
      <c r="APD202" s="423"/>
      <c r="APE202" s="423"/>
      <c r="APF202" s="423"/>
      <c r="APG202" s="423"/>
      <c r="APH202" s="423"/>
      <c r="API202" s="423"/>
      <c r="APJ202" s="423"/>
      <c r="APK202" s="423"/>
      <c r="APL202" s="423"/>
      <c r="APM202" s="423"/>
      <c r="APN202" s="423"/>
      <c r="APO202" s="423"/>
      <c r="APP202" s="423"/>
      <c r="APQ202" s="423"/>
      <c r="APR202" s="423"/>
      <c r="APS202" s="423"/>
      <c r="APT202" s="423"/>
      <c r="APU202" s="423"/>
      <c r="APV202" s="423"/>
      <c r="APW202" s="423"/>
      <c r="APX202" s="423"/>
      <c r="APY202" s="423"/>
      <c r="APZ202" s="423"/>
      <c r="AQA202" s="423"/>
      <c r="AQB202" s="423"/>
      <c r="AQC202" s="423"/>
      <c r="AQD202" s="423"/>
      <c r="AQE202" s="423"/>
      <c r="AQF202" s="423"/>
      <c r="AQG202" s="423"/>
      <c r="AQH202" s="423"/>
      <c r="AQI202" s="423"/>
      <c r="AQJ202" s="423"/>
      <c r="AQK202" s="423"/>
      <c r="AQL202" s="423"/>
      <c r="AQM202" s="423"/>
      <c r="AQN202" s="423"/>
      <c r="AQO202" s="423"/>
      <c r="AQP202" s="423"/>
      <c r="AQQ202" s="423"/>
      <c r="AQR202" s="423"/>
      <c r="AQS202" s="423"/>
      <c r="AQT202" s="423"/>
      <c r="AQU202" s="423"/>
      <c r="AQV202" s="423"/>
      <c r="AQW202" s="423"/>
      <c r="AQX202" s="423"/>
      <c r="AQY202" s="423"/>
      <c r="AQZ202" s="423"/>
      <c r="ARA202" s="423"/>
      <c r="ARB202" s="423"/>
      <c r="ARC202" s="423"/>
      <c r="ARD202" s="423"/>
      <c r="ARE202" s="423"/>
      <c r="ARF202" s="423"/>
      <c r="ARG202" s="423"/>
      <c r="ARH202" s="423"/>
      <c r="ARI202" s="423"/>
      <c r="ARJ202" s="423"/>
      <c r="ARK202" s="423"/>
      <c r="ARL202" s="423"/>
      <c r="ARM202" s="423"/>
      <c r="ARN202" s="423"/>
      <c r="ARO202" s="423"/>
      <c r="ARP202" s="423"/>
      <c r="ARQ202" s="423"/>
      <c r="ARR202" s="423"/>
      <c r="ARS202" s="423"/>
      <c r="ART202" s="423"/>
      <c r="ARU202" s="423"/>
      <c r="ARV202" s="423"/>
      <c r="ARW202" s="423"/>
      <c r="ARX202" s="423"/>
      <c r="ARY202" s="423"/>
      <c r="ARZ202" s="423"/>
      <c r="ASA202" s="423"/>
      <c r="ASB202" s="423"/>
      <c r="ASC202" s="423"/>
      <c r="ASD202" s="423"/>
      <c r="ASE202" s="423"/>
      <c r="ASF202" s="423"/>
      <c r="ASG202" s="423"/>
      <c r="ASH202" s="423"/>
      <c r="ASI202" s="423"/>
      <c r="ASJ202" s="423"/>
      <c r="ASK202" s="423"/>
      <c r="ASL202" s="423"/>
      <c r="ASM202" s="423"/>
      <c r="ASN202" s="423"/>
      <c r="ASO202" s="423"/>
      <c r="ASP202" s="423"/>
      <c r="ASQ202" s="423"/>
      <c r="ASR202" s="423"/>
      <c r="ASS202" s="423"/>
      <c r="AST202" s="423"/>
      <c r="ASU202" s="423"/>
      <c r="ASV202" s="423"/>
      <c r="ASW202" s="423"/>
      <c r="ASX202" s="423"/>
      <c r="ASY202" s="423"/>
      <c r="ASZ202" s="423"/>
      <c r="ATA202" s="423"/>
      <c r="ATB202" s="423"/>
      <c r="ATC202" s="423"/>
      <c r="ATD202" s="423"/>
      <c r="ATE202" s="423"/>
      <c r="ATF202" s="423"/>
      <c r="ATG202" s="423"/>
      <c r="ATH202" s="423"/>
      <c r="ATI202" s="423"/>
      <c r="ATJ202" s="423"/>
      <c r="ATK202" s="423"/>
      <c r="ATL202" s="423"/>
      <c r="ATM202" s="423"/>
      <c r="ATN202" s="423"/>
      <c r="ATO202" s="423"/>
      <c r="ATP202" s="423"/>
      <c r="ATQ202" s="423"/>
      <c r="ATR202" s="423"/>
      <c r="ATS202" s="423"/>
      <c r="ATT202" s="423"/>
      <c r="ATU202" s="423"/>
      <c r="ATV202" s="423"/>
      <c r="ATW202" s="423"/>
      <c r="ATX202" s="423"/>
      <c r="ATY202" s="423"/>
      <c r="ATZ202" s="423"/>
      <c r="AUA202" s="423"/>
      <c r="AUB202" s="423"/>
      <c r="AUC202" s="423"/>
      <c r="AUD202" s="423"/>
      <c r="AUE202" s="423"/>
      <c r="AUF202" s="423"/>
      <c r="AUG202" s="423"/>
    </row>
    <row r="203" spans="1:1229" hidden="1" x14ac:dyDescent="0.25">
      <c r="A203" s="303" t="s">
        <v>20</v>
      </c>
      <c r="B203" s="303" t="s">
        <v>295</v>
      </c>
      <c r="C203" s="315" t="s">
        <v>310</v>
      </c>
      <c r="D203" s="316"/>
      <c r="E203" s="318" t="s">
        <v>297</v>
      </c>
      <c r="F203" s="13"/>
      <c r="G203" s="13"/>
      <c r="H203" s="13"/>
      <c r="I203" s="13"/>
      <c r="J203" s="13"/>
    </row>
    <row r="204" spans="1:1229" hidden="1" x14ac:dyDescent="0.25">
      <c r="A204" s="300" t="s">
        <v>28</v>
      </c>
      <c r="B204" s="121"/>
      <c r="C204" s="247" t="s">
        <v>44</v>
      </c>
      <c r="D204" s="75"/>
      <c r="E204" s="121" t="s">
        <v>320</v>
      </c>
      <c r="F204" s="13"/>
      <c r="G204" s="13"/>
      <c r="H204" s="13"/>
      <c r="I204" s="13"/>
      <c r="J204" s="13"/>
    </row>
    <row r="205" spans="1:1229" ht="17.100000000000001" hidden="1" customHeight="1" x14ac:dyDescent="0.25">
      <c r="A205" s="121"/>
      <c r="B205" s="121" t="str">
        <f>Cirkuleringsgreb!C6</f>
        <v>Genbrug</v>
      </c>
      <c r="C205" s="248">
        <v>0.75</v>
      </c>
      <c r="D205" s="297">
        <v>1</v>
      </c>
      <c r="E205" s="123"/>
      <c r="F205" s="13"/>
      <c r="G205" s="13"/>
      <c r="H205" s="13"/>
      <c r="I205" s="13"/>
      <c r="J205" s="13"/>
    </row>
    <row r="206" spans="1:1229" hidden="1" x14ac:dyDescent="0.25">
      <c r="A206" s="121"/>
      <c r="B206" s="121" t="str">
        <f>Cirkuleringsgreb!C7</f>
        <v>Upcycling</v>
      </c>
      <c r="C206" s="248">
        <v>0.6</v>
      </c>
      <c r="D206" s="297">
        <v>1</v>
      </c>
      <c r="E206" s="123"/>
      <c r="F206" s="13"/>
      <c r="G206" s="13"/>
      <c r="H206" s="13"/>
      <c r="I206" s="13"/>
      <c r="J206" s="13"/>
    </row>
    <row r="207" spans="1:1229" ht="121.5" hidden="1" customHeight="1" x14ac:dyDescent="0.25">
      <c r="A207" s="263"/>
      <c r="B207" s="263" t="str">
        <f>Cirkuleringsgreb!C8</f>
        <v>Downcycling</v>
      </c>
      <c r="C207" s="308">
        <v>0.25</v>
      </c>
      <c r="D207" s="309">
        <v>1</v>
      </c>
      <c r="E207" s="306"/>
      <c r="F207" s="13"/>
      <c r="G207" s="13"/>
      <c r="H207" s="13"/>
      <c r="I207" s="13"/>
      <c r="J207" s="13"/>
    </row>
    <row r="208" spans="1:1229" hidden="1" x14ac:dyDescent="0.25">
      <c r="A208" s="311" t="s">
        <v>27</v>
      </c>
      <c r="B208" s="311"/>
      <c r="C208" s="320"/>
      <c r="D208" s="310"/>
      <c r="E208" s="330" t="s">
        <v>320</v>
      </c>
      <c r="F208" s="13"/>
      <c r="G208" s="13"/>
      <c r="H208" s="13"/>
      <c r="I208" s="13"/>
      <c r="J208" s="13"/>
    </row>
    <row r="209" spans="1:10" hidden="1" x14ac:dyDescent="0.25">
      <c r="A209" s="124"/>
      <c r="B209" s="124" t="str">
        <f>B205</f>
        <v>Genbrug</v>
      </c>
      <c r="C209" s="249">
        <v>0.75</v>
      </c>
      <c r="D209" s="298">
        <v>1</v>
      </c>
      <c r="E209" s="124"/>
      <c r="F209" s="13"/>
      <c r="G209" s="13"/>
      <c r="H209" s="13"/>
      <c r="I209" s="13"/>
      <c r="J209" s="13"/>
    </row>
    <row r="210" spans="1:10" hidden="1" x14ac:dyDescent="0.25">
      <c r="A210" s="124"/>
      <c r="B210" s="124" t="str">
        <f>B206</f>
        <v>Upcycling</v>
      </c>
      <c r="C210" s="249">
        <v>0.6</v>
      </c>
      <c r="D210" s="298">
        <v>1</v>
      </c>
      <c r="E210" s="126"/>
      <c r="F210" s="13"/>
      <c r="G210" s="13"/>
      <c r="H210" s="13"/>
      <c r="I210" s="13"/>
      <c r="J210" s="13"/>
    </row>
    <row r="211" spans="1:10" hidden="1" x14ac:dyDescent="0.25">
      <c r="A211" s="127"/>
      <c r="B211" s="127" t="str">
        <f>B207</f>
        <v>Downcycling</v>
      </c>
      <c r="C211" s="250">
        <v>0.25</v>
      </c>
      <c r="D211" s="299">
        <v>1</v>
      </c>
      <c r="E211" s="319"/>
      <c r="F211" s="13"/>
      <c r="G211" s="13"/>
      <c r="H211" s="13"/>
      <c r="I211" s="13"/>
      <c r="J211" s="13"/>
    </row>
    <row r="212" spans="1:10" hidden="1" x14ac:dyDescent="0.25">
      <c r="A212" s="321" t="s">
        <v>0</v>
      </c>
      <c r="B212" s="321"/>
      <c r="C212" s="322"/>
      <c r="D212" s="323"/>
      <c r="E212" s="329" t="s">
        <v>320</v>
      </c>
      <c r="F212" s="13"/>
      <c r="G212" s="13"/>
      <c r="H212" s="13"/>
      <c r="I212" s="13"/>
      <c r="J212" s="13"/>
    </row>
    <row r="213" spans="1:10" ht="27.6" hidden="1" x14ac:dyDescent="0.25">
      <c r="A213" s="121" t="s">
        <v>61</v>
      </c>
      <c r="B213" s="121"/>
      <c r="C213" s="248"/>
      <c r="D213" s="297"/>
      <c r="E213" s="121"/>
      <c r="F213" s="13"/>
      <c r="G213" s="13"/>
      <c r="H213" s="13"/>
      <c r="I213" s="13"/>
      <c r="J213" s="13"/>
    </row>
    <row r="214" spans="1:10" ht="19.5" hidden="1" customHeight="1" x14ac:dyDescent="0.25">
      <c r="A214" s="121"/>
      <c r="B214" s="121" t="str">
        <f>B209</f>
        <v>Genbrug</v>
      </c>
      <c r="C214" s="248">
        <v>0.74</v>
      </c>
      <c r="D214" s="297">
        <v>1</v>
      </c>
      <c r="E214" s="123"/>
      <c r="F214" s="13"/>
      <c r="G214" s="13"/>
      <c r="H214" s="13"/>
      <c r="I214" s="13"/>
      <c r="J214" s="13"/>
    </row>
    <row r="215" spans="1:10" hidden="1" x14ac:dyDescent="0.25">
      <c r="A215" s="121"/>
      <c r="B215" s="121" t="str">
        <f>B210</f>
        <v>Upcycling</v>
      </c>
      <c r="C215" s="248">
        <v>0.75</v>
      </c>
      <c r="D215" s="297">
        <v>1</v>
      </c>
      <c r="E215" s="123"/>
      <c r="F215" s="13"/>
      <c r="G215" s="13"/>
      <c r="H215" s="13"/>
      <c r="I215" s="13"/>
      <c r="J215" s="13"/>
    </row>
    <row r="216" spans="1:10" hidden="1" x14ac:dyDescent="0.25">
      <c r="A216" s="121"/>
      <c r="B216" s="121" t="str">
        <f>B211</f>
        <v>Downcycling</v>
      </c>
      <c r="C216" s="248">
        <v>0.25</v>
      </c>
      <c r="D216" s="297">
        <v>1</v>
      </c>
      <c r="E216" s="123"/>
      <c r="F216" s="13"/>
      <c r="G216" s="13"/>
      <c r="H216" s="13"/>
      <c r="I216" s="13"/>
      <c r="J216" s="13"/>
    </row>
    <row r="217" spans="1:10" hidden="1" x14ac:dyDescent="0.25">
      <c r="A217" s="121"/>
      <c r="B217" s="121"/>
      <c r="C217" s="248"/>
      <c r="D217" s="297"/>
      <c r="E217" s="123"/>
      <c r="F217" s="13"/>
      <c r="G217" s="13"/>
      <c r="H217" s="13"/>
      <c r="I217" s="13"/>
      <c r="J217" s="13"/>
    </row>
    <row r="218" spans="1:10" hidden="1" x14ac:dyDescent="0.25">
      <c r="A218" s="121"/>
      <c r="B218" s="121"/>
      <c r="C218" s="248"/>
      <c r="D218" s="297"/>
      <c r="E218" s="123"/>
      <c r="F218" s="13"/>
      <c r="G218" s="13"/>
      <c r="H218" s="13"/>
      <c r="I218" s="13"/>
      <c r="J218" s="13"/>
    </row>
    <row r="219" spans="1:10" hidden="1" x14ac:dyDescent="0.25">
      <c r="A219" s="121"/>
      <c r="B219" s="121"/>
      <c r="C219" s="248"/>
      <c r="D219" s="297"/>
      <c r="E219" s="123"/>
      <c r="F219" s="13"/>
      <c r="G219" s="13"/>
      <c r="H219" s="13"/>
      <c r="I219" s="13"/>
      <c r="J219" s="13"/>
    </row>
    <row r="220" spans="1:10" hidden="1" x14ac:dyDescent="0.25">
      <c r="A220" s="325"/>
      <c r="B220" s="325"/>
      <c r="C220" s="326"/>
      <c r="D220" s="327"/>
      <c r="E220" s="328"/>
      <c r="F220" s="13"/>
      <c r="G220" s="13"/>
      <c r="H220" s="13"/>
      <c r="I220" s="13"/>
      <c r="J220" s="13"/>
    </row>
    <row r="221" spans="1:10" ht="23.4" x14ac:dyDescent="0.4">
      <c r="A221" s="489" t="s">
        <v>305</v>
      </c>
      <c r="B221" s="490"/>
      <c r="C221" s="490"/>
      <c r="D221" s="491"/>
      <c r="E221" s="491"/>
      <c r="F221" s="13"/>
      <c r="G221" s="13"/>
      <c r="H221" s="13"/>
      <c r="I221" s="13"/>
      <c r="J221" s="13"/>
    </row>
    <row r="222" spans="1:10" x14ac:dyDescent="0.25">
      <c r="A222" s="303" t="s">
        <v>20</v>
      </c>
      <c r="B222" s="303" t="s">
        <v>295</v>
      </c>
      <c r="C222" s="315" t="s">
        <v>310</v>
      </c>
      <c r="D222" s="316"/>
      <c r="E222" s="318" t="s">
        <v>297</v>
      </c>
      <c r="F222" s="13"/>
      <c r="G222" s="13"/>
      <c r="H222" s="13"/>
      <c r="I222" s="13"/>
      <c r="J222" s="13"/>
    </row>
    <row r="223" spans="1:10" x14ac:dyDescent="0.25">
      <c r="A223" s="246" t="s">
        <v>31</v>
      </c>
      <c r="B223" s="265"/>
      <c r="C223" s="313"/>
      <c r="D223" s="314"/>
      <c r="E223" s="265" t="s">
        <v>320</v>
      </c>
      <c r="F223" s="13"/>
      <c r="G223" s="13"/>
      <c r="H223" s="13"/>
      <c r="I223" s="13"/>
      <c r="J223" s="13"/>
    </row>
    <row r="224" spans="1:10" x14ac:dyDescent="0.25">
      <c r="A224" s="124"/>
      <c r="B224" s="124" t="str">
        <f>B164</f>
        <v>Genbrug på matriklen</v>
      </c>
      <c r="C224" s="249">
        <v>0.95</v>
      </c>
      <c r="D224" s="298">
        <v>1</v>
      </c>
      <c r="E224" s="126"/>
      <c r="F224" s="13"/>
      <c r="G224" s="13"/>
      <c r="H224" s="13"/>
      <c r="I224" s="13"/>
      <c r="J224" s="13"/>
    </row>
    <row r="225" spans="1:13" x14ac:dyDescent="0.25">
      <c r="A225" s="124"/>
      <c r="B225" s="124" t="str">
        <f>B169</f>
        <v>Genanvendelse uden for matriklen</v>
      </c>
      <c r="C225" s="249">
        <v>0.5</v>
      </c>
      <c r="D225" s="298">
        <v>0.7</v>
      </c>
      <c r="E225" s="126" t="s">
        <v>338</v>
      </c>
      <c r="F225" s="13"/>
      <c r="G225" s="13"/>
      <c r="H225" s="13"/>
      <c r="I225" s="13"/>
      <c r="J225" s="13"/>
    </row>
    <row r="226" spans="1:13" x14ac:dyDescent="0.25">
      <c r="A226" s="127"/>
      <c r="B226" s="127" t="str">
        <f>B170</f>
        <v>Deponi</v>
      </c>
      <c r="C226" s="250">
        <v>0</v>
      </c>
      <c r="D226" s="299">
        <v>0.05</v>
      </c>
      <c r="E226" s="319"/>
      <c r="F226" s="13"/>
      <c r="G226" s="13"/>
      <c r="H226" s="13"/>
      <c r="I226" s="13"/>
      <c r="J226" s="13"/>
    </row>
    <row r="227" spans="1:13" x14ac:dyDescent="0.25">
      <c r="A227" s="321" t="s">
        <v>105</v>
      </c>
      <c r="B227" s="321"/>
      <c r="C227" s="322"/>
      <c r="D227" s="323"/>
      <c r="E227" s="324"/>
      <c r="F227" s="13"/>
      <c r="G227" s="13"/>
      <c r="H227" s="13"/>
      <c r="I227" s="13"/>
      <c r="J227" s="13"/>
    </row>
    <row r="228" spans="1:13" ht="27.6" x14ac:dyDescent="0.25">
      <c r="A228" s="121"/>
      <c r="B228" s="121" t="str">
        <f>Cirkuleringsgreb!M15</f>
        <v>Genbrug på matriklen</v>
      </c>
      <c r="C228" s="248">
        <v>0.8</v>
      </c>
      <c r="D228" s="297">
        <v>1</v>
      </c>
      <c r="E228" s="121" t="s">
        <v>410</v>
      </c>
      <c r="F228" s="13"/>
      <c r="G228" s="13"/>
      <c r="H228" s="13"/>
      <c r="I228" s="13"/>
      <c r="J228" s="13"/>
    </row>
    <row r="229" spans="1:13" ht="14.4" x14ac:dyDescent="0.25">
      <c r="A229" s="121"/>
      <c r="B229" s="121" t="str">
        <f>Cirkuleringsgreb!M16</f>
        <v xml:space="preserve">Genanvendelse uden for matriklen </v>
      </c>
      <c r="C229" s="248">
        <v>0.8</v>
      </c>
      <c r="D229" s="297">
        <v>0.95</v>
      </c>
      <c r="E229" s="497" t="s">
        <v>385</v>
      </c>
      <c r="F229" s="13"/>
      <c r="G229" s="13"/>
      <c r="H229" s="13"/>
      <c r="I229" s="13"/>
      <c r="J229" s="13"/>
    </row>
    <row r="230" spans="1:13" x14ac:dyDescent="0.25">
      <c r="A230" s="121"/>
      <c r="B230" s="121" t="str">
        <f>Cirkuleringsgreb!M17</f>
        <v>Downcycling</v>
      </c>
      <c r="C230" s="248">
        <v>0.1</v>
      </c>
      <c r="D230" s="297">
        <v>0.95</v>
      </c>
      <c r="E230" s="123"/>
      <c r="F230" s="13"/>
      <c r="G230" s="13"/>
      <c r="H230" s="13"/>
      <c r="I230" s="13"/>
      <c r="J230" s="13"/>
    </row>
    <row r="231" spans="1:13" x14ac:dyDescent="0.25">
      <c r="A231" s="263"/>
      <c r="B231" s="263"/>
      <c r="C231" s="308"/>
      <c r="D231" s="309"/>
      <c r="E231" s="306"/>
      <c r="F231" s="13"/>
      <c r="G231" s="13"/>
      <c r="H231" s="13"/>
      <c r="I231" s="13"/>
      <c r="J231" s="13"/>
    </row>
    <row r="232" spans="1:13" ht="30" customHeight="1" x14ac:dyDescent="0.25">
      <c r="A232" s="311" t="s">
        <v>115</v>
      </c>
      <c r="B232" s="311"/>
      <c r="C232" s="320"/>
      <c r="D232" s="310"/>
      <c r="E232" s="573" t="s">
        <v>370</v>
      </c>
      <c r="F232" s="13"/>
      <c r="G232" s="13"/>
      <c r="H232" s="13"/>
      <c r="I232" s="13"/>
      <c r="J232" s="13"/>
    </row>
    <row r="233" spans="1:13" ht="27.75" customHeight="1" x14ac:dyDescent="0.25">
      <c r="A233" s="124"/>
      <c r="B233" s="124" t="str">
        <f>Cirkuleringsgreb!W15</f>
        <v>Genbrug</v>
      </c>
      <c r="C233" s="249">
        <v>0.95</v>
      </c>
      <c r="D233" s="298">
        <v>1</v>
      </c>
      <c r="E233" s="574"/>
      <c r="F233" s="13"/>
      <c r="G233" s="13"/>
      <c r="H233" s="13"/>
      <c r="I233" s="13"/>
      <c r="J233" s="13"/>
    </row>
    <row r="234" spans="1:13" ht="24" customHeight="1" x14ac:dyDescent="0.25">
      <c r="A234" s="124"/>
      <c r="B234" s="124" t="str">
        <f>Cirkuleringsgreb!W16</f>
        <v>Upcycling</v>
      </c>
      <c r="C234" s="249">
        <v>0.1</v>
      </c>
      <c r="D234" s="298">
        <v>0.2</v>
      </c>
      <c r="E234" s="574"/>
      <c r="F234" s="13"/>
      <c r="G234" s="13"/>
      <c r="H234" s="13"/>
      <c r="I234" s="13"/>
      <c r="J234" s="13"/>
    </row>
    <row r="235" spans="1:13" ht="35.25" customHeight="1" x14ac:dyDescent="0.25">
      <c r="A235" s="127"/>
      <c r="B235" s="127" t="str">
        <f>Cirkuleringsgreb!W17</f>
        <v>Downcycling</v>
      </c>
      <c r="C235" s="250">
        <v>0.05</v>
      </c>
      <c r="D235" s="299">
        <v>0.95</v>
      </c>
      <c r="E235" s="575"/>
      <c r="F235" s="13"/>
      <c r="G235" s="13"/>
      <c r="H235" s="13"/>
      <c r="I235" s="13"/>
      <c r="J235" s="13"/>
    </row>
    <row r="236" spans="1:13" x14ac:dyDescent="0.25">
      <c r="A236" s="67"/>
      <c r="B236" s="67"/>
      <c r="C236" s="118"/>
      <c r="D236" s="119"/>
      <c r="E236" s="13"/>
      <c r="F236" s="13"/>
      <c r="G236" s="13"/>
      <c r="H236" s="13"/>
      <c r="I236" s="13"/>
      <c r="J236" s="13"/>
    </row>
    <row r="237" spans="1:13" x14ac:dyDescent="0.25">
      <c r="A237" s="67"/>
      <c r="B237" s="67"/>
      <c r="C237" s="118"/>
      <c r="D237" s="119"/>
      <c r="E237" s="13"/>
      <c r="F237" s="13"/>
      <c r="G237" s="13"/>
      <c r="H237" s="13"/>
      <c r="I237" s="13"/>
      <c r="J237" s="13"/>
    </row>
    <row r="238" spans="1:13" x14ac:dyDescent="0.25">
      <c r="A238" s="67"/>
      <c r="B238" s="67"/>
      <c r="C238" s="118"/>
      <c r="D238" s="119"/>
      <c r="E238" s="13"/>
      <c r="F238" s="13"/>
      <c r="G238" s="13"/>
      <c r="H238" s="13"/>
      <c r="I238" s="13"/>
      <c r="J238" s="13"/>
    </row>
    <row r="239" spans="1:13" x14ac:dyDescent="0.25">
      <c r="A239" s="67"/>
      <c r="B239" s="67"/>
      <c r="C239" s="67"/>
      <c r="D239" s="13"/>
      <c r="E239" s="13"/>
      <c r="F239" s="13"/>
      <c r="G239" s="13"/>
      <c r="H239" s="13"/>
      <c r="I239" s="13"/>
      <c r="J239" s="13"/>
      <c r="M239" s="119"/>
    </row>
    <row r="240" spans="1:13" x14ac:dyDescent="0.25">
      <c r="A240" s="67"/>
      <c r="B240" s="67"/>
      <c r="C240" s="67"/>
      <c r="D240" s="13"/>
      <c r="E240" s="13"/>
      <c r="F240" s="13"/>
      <c r="G240" s="13"/>
      <c r="H240" s="13"/>
      <c r="I240" s="13"/>
      <c r="J240" s="13"/>
      <c r="M240" s="119"/>
    </row>
    <row r="241" spans="1:10" x14ac:dyDescent="0.25">
      <c r="A241" s="67"/>
      <c r="B241" s="67"/>
      <c r="C241" s="67"/>
      <c r="D241" s="13"/>
      <c r="E241" s="13"/>
      <c r="F241" s="13"/>
      <c r="G241" s="13"/>
      <c r="H241" s="13"/>
      <c r="I241" s="13"/>
      <c r="J241" s="13"/>
    </row>
    <row r="242" spans="1:10" x14ac:dyDescent="0.25">
      <c r="A242" s="67"/>
      <c r="B242" s="67"/>
      <c r="C242" s="67"/>
      <c r="D242" s="13"/>
      <c r="E242" s="13"/>
      <c r="F242" s="13"/>
      <c r="G242" s="13"/>
      <c r="H242" s="13"/>
      <c r="I242" s="13"/>
      <c r="J242" s="13"/>
    </row>
    <row r="243" spans="1:10" ht="68.400000000000006" x14ac:dyDescent="0.25">
      <c r="A243" s="294" t="s">
        <v>100</v>
      </c>
      <c r="B243" s="94"/>
      <c r="C243" s="94"/>
      <c r="D243" s="95"/>
      <c r="E243" s="95"/>
      <c r="F243" s="95"/>
      <c r="G243" s="95"/>
      <c r="H243" s="95"/>
      <c r="I243" s="95"/>
      <c r="J243" s="95"/>
    </row>
    <row r="244" spans="1:10" ht="0.6" customHeight="1" x14ac:dyDescent="0.4">
      <c r="A244" s="335" t="s">
        <v>292</v>
      </c>
      <c r="B244" s="291"/>
      <c r="C244" s="291"/>
      <c r="D244" s="292"/>
      <c r="E244" s="13"/>
      <c r="F244" s="13"/>
      <c r="G244" s="13"/>
      <c r="H244" s="13"/>
      <c r="I244" s="13"/>
      <c r="J244" s="13"/>
    </row>
    <row r="245" spans="1:10" hidden="1" x14ac:dyDescent="0.25">
      <c r="A245" s="303" t="s">
        <v>20</v>
      </c>
      <c r="B245" s="303" t="s">
        <v>295</v>
      </c>
      <c r="C245" s="304" t="s">
        <v>100</v>
      </c>
      <c r="D245" s="304" t="s">
        <v>297</v>
      </c>
      <c r="E245" s="13"/>
      <c r="F245" s="13"/>
      <c r="G245" s="13"/>
      <c r="H245" s="13"/>
      <c r="I245" s="13"/>
      <c r="J245" s="13"/>
    </row>
    <row r="246" spans="1:10" hidden="1" x14ac:dyDescent="0.25">
      <c r="A246" s="262" t="s">
        <v>28</v>
      </c>
      <c r="B246" s="262"/>
      <c r="C246" s="305" t="s">
        <v>44</v>
      </c>
      <c r="D246" s="121" t="s">
        <v>320</v>
      </c>
      <c r="E246" s="13"/>
      <c r="F246" s="13"/>
      <c r="G246" s="13"/>
      <c r="H246" s="13"/>
      <c r="I246" s="13"/>
      <c r="J246" s="13"/>
    </row>
    <row r="247" spans="1:10" hidden="1" x14ac:dyDescent="0.25">
      <c r="A247" s="121"/>
      <c r="B247" s="121" t="str">
        <f>B205</f>
        <v>Genbrug</v>
      </c>
      <c r="C247" s="123">
        <v>1</v>
      </c>
      <c r="D247" s="123"/>
      <c r="E247" s="13"/>
      <c r="F247" s="13"/>
      <c r="G247" s="13"/>
      <c r="H247" s="13"/>
      <c r="I247" s="13"/>
      <c r="J247" s="13"/>
    </row>
    <row r="248" spans="1:10" hidden="1" x14ac:dyDescent="0.25">
      <c r="A248" s="121"/>
      <c r="B248" s="121" t="str">
        <f>B206</f>
        <v>Upcycling</v>
      </c>
      <c r="C248" s="123">
        <v>0.75</v>
      </c>
      <c r="D248" s="123"/>
      <c r="E248" s="13"/>
      <c r="F248" s="13"/>
      <c r="G248" s="13"/>
      <c r="H248" s="13"/>
      <c r="I248" s="13"/>
      <c r="J248" s="13"/>
    </row>
    <row r="249" spans="1:10" hidden="1" x14ac:dyDescent="0.25">
      <c r="A249" s="263"/>
      <c r="B249" s="263" t="str">
        <f>B207</f>
        <v>Downcycling</v>
      </c>
      <c r="C249" s="306">
        <v>0.5</v>
      </c>
      <c r="D249" s="306"/>
      <c r="E249" s="13"/>
      <c r="F249" s="13"/>
      <c r="G249" s="13"/>
      <c r="H249" s="13"/>
      <c r="I249" s="13"/>
      <c r="J249" s="13"/>
    </row>
    <row r="250" spans="1:10" hidden="1" x14ac:dyDescent="0.25">
      <c r="A250" s="124" t="s">
        <v>27</v>
      </c>
      <c r="B250" s="124"/>
      <c r="C250" s="126"/>
      <c r="D250" s="124" t="s">
        <v>320</v>
      </c>
      <c r="E250" s="13"/>
      <c r="F250" s="13"/>
      <c r="G250" s="13"/>
      <c r="H250" s="13"/>
      <c r="I250" s="13"/>
      <c r="J250" s="13"/>
    </row>
    <row r="251" spans="1:10" hidden="1" x14ac:dyDescent="0.25">
      <c r="A251" s="124"/>
      <c r="B251" s="124" t="str">
        <f>B247</f>
        <v>Genbrug</v>
      </c>
      <c r="C251" s="126">
        <v>1</v>
      </c>
      <c r="D251" s="126"/>
      <c r="E251" s="13"/>
      <c r="F251" s="13"/>
      <c r="G251" s="13"/>
      <c r="H251" s="13"/>
      <c r="I251" s="13"/>
      <c r="J251" s="13"/>
    </row>
    <row r="252" spans="1:10" hidden="1" x14ac:dyDescent="0.25">
      <c r="A252" s="124"/>
      <c r="B252" s="124" t="str">
        <f>B248</f>
        <v>Upcycling</v>
      </c>
      <c r="C252" s="126">
        <v>0.85</v>
      </c>
      <c r="D252" s="126"/>
      <c r="E252" s="13"/>
      <c r="F252" s="13"/>
      <c r="G252" s="13"/>
      <c r="H252" s="13"/>
      <c r="I252" s="13"/>
      <c r="J252" s="13"/>
    </row>
    <row r="253" spans="1:10" hidden="1" x14ac:dyDescent="0.25">
      <c r="A253" s="124"/>
      <c r="B253" s="124" t="str">
        <f>B249</f>
        <v>Downcycling</v>
      </c>
      <c r="C253" s="126">
        <v>0.5</v>
      </c>
      <c r="D253" s="319"/>
      <c r="E253" s="13"/>
      <c r="F253" s="13"/>
      <c r="G253" s="13"/>
      <c r="H253" s="13"/>
      <c r="I253" s="13"/>
      <c r="J253" s="13"/>
    </row>
    <row r="254" spans="1:10" hidden="1" x14ac:dyDescent="0.25">
      <c r="A254" s="262" t="s">
        <v>0</v>
      </c>
      <c r="B254" s="262"/>
      <c r="C254" s="307"/>
      <c r="D254" s="121" t="s">
        <v>320</v>
      </c>
      <c r="E254" s="13"/>
      <c r="F254" s="13"/>
      <c r="G254" s="13"/>
      <c r="H254" s="13"/>
      <c r="I254" s="13"/>
      <c r="J254" s="13"/>
    </row>
    <row r="255" spans="1:10" hidden="1" x14ac:dyDescent="0.25">
      <c r="A255" s="121"/>
      <c r="B255" s="121"/>
      <c r="C255" s="123"/>
      <c r="D255" s="123"/>
      <c r="E255" s="13"/>
      <c r="F255" s="13"/>
      <c r="G255" s="13"/>
      <c r="H255" s="13"/>
      <c r="I255" s="13"/>
      <c r="J255" s="13"/>
    </row>
    <row r="256" spans="1:10" hidden="1" x14ac:dyDescent="0.25">
      <c r="A256" s="121"/>
      <c r="B256" s="121" t="str">
        <f>B251</f>
        <v>Genbrug</v>
      </c>
      <c r="C256" s="123">
        <v>1</v>
      </c>
      <c r="D256" s="123"/>
      <c r="E256" s="13"/>
      <c r="F256" s="13"/>
      <c r="G256" s="13"/>
      <c r="H256" s="13"/>
      <c r="I256" s="13"/>
      <c r="J256" s="13"/>
    </row>
    <row r="257" spans="1:10" hidden="1" x14ac:dyDescent="0.25">
      <c r="A257" s="121"/>
      <c r="B257" s="121" t="str">
        <f>B252</f>
        <v>Upcycling</v>
      </c>
      <c r="C257" s="123">
        <v>0.8</v>
      </c>
      <c r="D257" s="123"/>
      <c r="E257" s="13"/>
      <c r="F257" s="13"/>
      <c r="G257" s="13"/>
      <c r="H257" s="13"/>
      <c r="I257" s="13"/>
      <c r="J257" s="13"/>
    </row>
    <row r="258" spans="1:10" hidden="1" x14ac:dyDescent="0.25">
      <c r="A258" s="121"/>
      <c r="B258" s="121" t="str">
        <f>B253</f>
        <v>Downcycling</v>
      </c>
      <c r="C258" s="123">
        <v>0.5</v>
      </c>
      <c r="D258" s="123"/>
      <c r="E258" s="13"/>
      <c r="F258" s="13"/>
      <c r="G258" s="13"/>
      <c r="H258" s="13"/>
      <c r="I258" s="13"/>
      <c r="J258" s="13"/>
    </row>
    <row r="259" spans="1:10" hidden="1" x14ac:dyDescent="0.25">
      <c r="A259" s="121"/>
      <c r="B259" s="121"/>
      <c r="C259" s="123"/>
      <c r="D259" s="123"/>
      <c r="E259" s="13"/>
      <c r="F259" s="13"/>
      <c r="G259" s="13"/>
      <c r="H259" s="13"/>
      <c r="I259" s="13"/>
      <c r="J259" s="13"/>
    </row>
    <row r="260" spans="1:10" hidden="1" x14ac:dyDescent="0.25">
      <c r="A260" s="263"/>
      <c r="B260" s="263"/>
      <c r="C260" s="306"/>
      <c r="D260" s="306"/>
      <c r="E260" s="13"/>
      <c r="F260" s="13"/>
      <c r="G260" s="13"/>
      <c r="H260" s="13"/>
      <c r="I260" s="13"/>
      <c r="J260" s="13"/>
    </row>
    <row r="261" spans="1:10" ht="23.4" x14ac:dyDescent="0.4">
      <c r="A261" s="489" t="s">
        <v>305</v>
      </c>
      <c r="B261" s="490"/>
      <c r="C261" s="490"/>
      <c r="D261" s="491"/>
      <c r="E261" s="13"/>
      <c r="F261" s="13"/>
      <c r="G261" s="13"/>
      <c r="H261" s="13"/>
      <c r="I261" s="13"/>
      <c r="J261" s="13"/>
    </row>
    <row r="262" spans="1:10" x14ac:dyDescent="0.25">
      <c r="A262" s="303" t="s">
        <v>20</v>
      </c>
      <c r="B262" s="303" t="s">
        <v>295</v>
      </c>
      <c r="C262" s="304" t="s">
        <v>100</v>
      </c>
      <c r="D262" s="304" t="s">
        <v>297</v>
      </c>
      <c r="E262" s="13"/>
      <c r="F262" s="13"/>
      <c r="G262" s="13"/>
      <c r="H262" s="13"/>
      <c r="I262" s="13"/>
      <c r="J262" s="13"/>
    </row>
    <row r="263" spans="1:10" x14ac:dyDescent="0.25">
      <c r="A263" s="124" t="s">
        <v>31</v>
      </c>
      <c r="B263" s="124"/>
      <c r="C263" s="251"/>
      <c r="D263" s="124" t="s">
        <v>410</v>
      </c>
      <c r="E263" s="13"/>
      <c r="F263" s="13"/>
      <c r="G263" s="13"/>
      <c r="H263" s="13"/>
      <c r="I263" s="13"/>
      <c r="J263" s="13"/>
    </row>
    <row r="264" spans="1:10" x14ac:dyDescent="0.25">
      <c r="A264" s="124"/>
      <c r="B264" s="124" t="str">
        <f>B224</f>
        <v>Genbrug på matriklen</v>
      </c>
      <c r="C264" s="126">
        <v>1</v>
      </c>
      <c r="D264" s="126"/>
      <c r="E264" s="13"/>
      <c r="F264" s="13"/>
      <c r="G264" s="13"/>
      <c r="H264" s="13"/>
      <c r="I264" s="13"/>
      <c r="J264" s="13"/>
    </row>
    <row r="265" spans="1:10" x14ac:dyDescent="0.25">
      <c r="A265" s="124"/>
      <c r="B265" s="124" t="str">
        <f>B225</f>
        <v>Genanvendelse uden for matriklen</v>
      </c>
      <c r="C265" s="126">
        <v>1</v>
      </c>
      <c r="D265" s="126"/>
      <c r="E265" s="13"/>
      <c r="F265" s="13"/>
      <c r="G265" s="13"/>
      <c r="H265" s="13"/>
      <c r="I265" s="13"/>
      <c r="J265" s="13"/>
    </row>
    <row r="266" spans="1:10" x14ac:dyDescent="0.25">
      <c r="A266" s="124"/>
      <c r="B266" s="124" t="str">
        <f>B226</f>
        <v>Deponi</v>
      </c>
      <c r="C266" s="126">
        <v>0</v>
      </c>
      <c r="D266" s="319"/>
      <c r="E266" s="13"/>
      <c r="F266" s="13"/>
      <c r="G266" s="13"/>
      <c r="H266" s="13"/>
      <c r="I266" s="13"/>
      <c r="J266" s="13"/>
    </row>
    <row r="267" spans="1:10" x14ac:dyDescent="0.25">
      <c r="A267" s="262" t="s">
        <v>105</v>
      </c>
      <c r="B267" s="262"/>
      <c r="C267" s="307"/>
      <c r="D267" s="121" t="s">
        <v>410</v>
      </c>
      <c r="E267" s="13"/>
      <c r="F267" s="13"/>
      <c r="G267" s="13"/>
      <c r="H267" s="13"/>
      <c r="I267" s="13"/>
      <c r="J267" s="13"/>
    </row>
    <row r="268" spans="1:10" x14ac:dyDescent="0.25">
      <c r="A268" s="121"/>
      <c r="B268" s="121" t="str">
        <f>B228</f>
        <v>Genbrug på matriklen</v>
      </c>
      <c r="C268" s="123">
        <v>1</v>
      </c>
      <c r="D268" s="123"/>
      <c r="E268" s="13"/>
      <c r="F268" s="13"/>
      <c r="G268" s="13"/>
      <c r="H268" s="13"/>
      <c r="I268" s="13"/>
      <c r="J268" s="13"/>
    </row>
    <row r="269" spans="1:10" x14ac:dyDescent="0.25">
      <c r="A269" s="121"/>
      <c r="B269" s="121" t="str">
        <f>B229</f>
        <v xml:space="preserve">Genanvendelse uden for matriklen </v>
      </c>
      <c r="C269" s="498">
        <v>0.9</v>
      </c>
      <c r="D269" s="123"/>
      <c r="E269" s="13"/>
      <c r="F269" s="13"/>
      <c r="G269" s="13"/>
      <c r="H269" s="13"/>
      <c r="I269" s="13"/>
      <c r="J269" s="13"/>
    </row>
    <row r="270" spans="1:10" x14ac:dyDescent="0.25">
      <c r="A270" s="263"/>
      <c r="B270" s="263" t="str">
        <f>B230</f>
        <v>Downcycling</v>
      </c>
      <c r="C270" s="306">
        <v>0.95</v>
      </c>
      <c r="D270" s="306"/>
      <c r="E270" s="13"/>
      <c r="F270" s="13"/>
      <c r="G270" s="13"/>
      <c r="H270" s="13"/>
      <c r="I270" s="13"/>
      <c r="J270" s="13"/>
    </row>
    <row r="271" spans="1:10" x14ac:dyDescent="0.25">
      <c r="A271" s="124" t="s">
        <v>115</v>
      </c>
      <c r="B271" s="124"/>
      <c r="C271" s="126"/>
      <c r="D271" s="124" t="s">
        <v>410</v>
      </c>
      <c r="E271" s="13"/>
      <c r="F271" s="13"/>
      <c r="G271" s="13"/>
      <c r="H271" s="13"/>
      <c r="I271" s="13"/>
      <c r="J271" s="13"/>
    </row>
    <row r="272" spans="1:10" x14ac:dyDescent="0.25">
      <c r="A272" s="124"/>
      <c r="B272" s="124"/>
      <c r="C272" s="126"/>
      <c r="D272" s="126"/>
      <c r="E272" s="13"/>
      <c r="F272" s="13"/>
      <c r="G272" s="13"/>
      <c r="H272" s="13"/>
      <c r="I272" s="13"/>
      <c r="J272" s="13"/>
    </row>
    <row r="273" spans="1:10" x14ac:dyDescent="0.25">
      <c r="A273" s="124"/>
      <c r="B273" s="124" t="str">
        <f>B233</f>
        <v>Genbrug</v>
      </c>
      <c r="C273" s="126">
        <v>0.95</v>
      </c>
      <c r="D273" s="126"/>
      <c r="E273" s="13"/>
      <c r="F273" s="13"/>
      <c r="G273" s="13"/>
      <c r="H273" s="13"/>
      <c r="I273" s="13"/>
      <c r="J273" s="13"/>
    </row>
    <row r="274" spans="1:10" x14ac:dyDescent="0.25">
      <c r="A274" s="124"/>
      <c r="B274" s="124" t="str">
        <f>B234</f>
        <v>Upcycling</v>
      </c>
      <c r="C274" s="126">
        <v>0.5</v>
      </c>
      <c r="D274" s="126"/>
      <c r="E274" s="13"/>
      <c r="F274" s="13"/>
      <c r="G274" s="13"/>
      <c r="H274" s="13"/>
      <c r="I274" s="13"/>
      <c r="J274" s="13"/>
    </row>
    <row r="275" spans="1:10" x14ac:dyDescent="0.25">
      <c r="A275" s="124"/>
      <c r="B275" s="124" t="str">
        <f>B235</f>
        <v>Downcycling</v>
      </c>
      <c r="C275" s="126">
        <v>1</v>
      </c>
      <c r="D275" s="126"/>
      <c r="E275" s="13"/>
      <c r="F275" s="13"/>
      <c r="G275" s="13"/>
      <c r="H275" s="13"/>
      <c r="I275" s="13"/>
      <c r="J275" s="13"/>
    </row>
    <row r="276" spans="1:10" x14ac:dyDescent="0.25">
      <c r="A276" s="127"/>
      <c r="B276" s="127"/>
      <c r="C276" s="127"/>
      <c r="D276" s="127"/>
      <c r="E276" s="13"/>
      <c r="F276" s="13"/>
      <c r="G276" s="13"/>
      <c r="H276" s="13"/>
      <c r="I276" s="13"/>
      <c r="J276" s="13"/>
    </row>
    <row r="277" spans="1:10" x14ac:dyDescent="0.25">
      <c r="A277" s="67"/>
      <c r="B277" s="67"/>
      <c r="C277" s="67"/>
      <c r="D277" s="13"/>
      <c r="E277" s="13"/>
      <c r="F277" s="13"/>
      <c r="G277" s="13"/>
      <c r="H277" s="13"/>
      <c r="I277" s="13"/>
      <c r="J277" s="13"/>
    </row>
    <row r="278" spans="1:10" x14ac:dyDescent="0.25">
      <c r="A278" s="67"/>
      <c r="B278" s="67"/>
      <c r="C278" s="67"/>
      <c r="D278" s="13"/>
      <c r="E278" s="13"/>
      <c r="F278" s="13"/>
      <c r="G278" s="13"/>
      <c r="H278" s="13"/>
      <c r="I278" s="13"/>
      <c r="J278" s="13"/>
    </row>
    <row r="279" spans="1:10" x14ac:dyDescent="0.25">
      <c r="A279" s="67"/>
      <c r="B279" s="67"/>
      <c r="C279" s="67"/>
      <c r="D279" s="13"/>
      <c r="E279" s="13"/>
      <c r="F279" s="13"/>
      <c r="G279" s="13"/>
      <c r="H279" s="13"/>
      <c r="I279" s="13"/>
      <c r="J279" s="13"/>
    </row>
    <row r="280" spans="1:10" x14ac:dyDescent="0.25">
      <c r="A280" s="67"/>
      <c r="B280" s="67"/>
      <c r="C280" s="67"/>
      <c r="D280" s="13"/>
      <c r="E280" s="13"/>
      <c r="F280" s="13"/>
      <c r="G280" s="13"/>
      <c r="H280" s="13"/>
      <c r="I280" s="13"/>
      <c r="J280" s="13"/>
    </row>
    <row r="281" spans="1:10" ht="34.200000000000003" x14ac:dyDescent="0.25">
      <c r="A281" s="294" t="s">
        <v>68</v>
      </c>
      <c r="B281" s="94"/>
      <c r="C281" s="94"/>
      <c r="D281" s="95"/>
      <c r="E281" s="95"/>
      <c r="F281" s="95"/>
      <c r="G281" s="95"/>
      <c r="H281" s="95"/>
      <c r="I281" s="95"/>
      <c r="J281" s="95"/>
    </row>
    <row r="282" spans="1:10" s="13" customFormat="1" ht="0.6" customHeight="1" x14ac:dyDescent="0.4">
      <c r="A282" s="335" t="s">
        <v>292</v>
      </c>
      <c r="B282" s="291"/>
      <c r="C282" s="291"/>
      <c r="D282" s="292"/>
    </row>
    <row r="283" spans="1:10" ht="15" hidden="1" x14ac:dyDescent="0.25">
      <c r="A283" s="331" t="s">
        <v>20</v>
      </c>
      <c r="B283" s="331" t="s">
        <v>295</v>
      </c>
      <c r="C283" s="331" t="s">
        <v>296</v>
      </c>
      <c r="D283" s="278" t="s">
        <v>297</v>
      </c>
      <c r="E283" s="120"/>
      <c r="F283" s="120"/>
      <c r="G283" s="13"/>
      <c r="H283" s="13"/>
      <c r="I283" s="13"/>
      <c r="J283" s="13"/>
    </row>
    <row r="284" spans="1:10" hidden="1" x14ac:dyDescent="0.25">
      <c r="A284" s="121" t="s">
        <v>28</v>
      </c>
      <c r="B284" s="121"/>
      <c r="C284" s="121"/>
      <c r="D284" s="122"/>
      <c r="E284" s="13"/>
      <c r="F284" s="13"/>
      <c r="G284" s="13"/>
      <c r="H284" s="13"/>
      <c r="I284" s="13"/>
      <c r="J284" s="13"/>
    </row>
    <row r="285" spans="1:10" hidden="1" x14ac:dyDescent="0.25">
      <c r="A285" s="121"/>
      <c r="B285" s="121" t="str">
        <f>Cirkuleringsgreb!C6</f>
        <v>Genbrug</v>
      </c>
      <c r="C285" s="123">
        <v>1</v>
      </c>
      <c r="D285" s="122"/>
      <c r="E285" s="13"/>
      <c r="F285" s="13"/>
      <c r="G285" s="13"/>
      <c r="H285" s="13"/>
      <c r="I285" s="13"/>
      <c r="J285" s="13"/>
    </row>
    <row r="286" spans="1:10" hidden="1" x14ac:dyDescent="0.25">
      <c r="A286" s="121"/>
      <c r="B286" s="121" t="str">
        <f>Cirkuleringsgreb!C7</f>
        <v>Upcycling</v>
      </c>
      <c r="C286" s="123">
        <v>0.47</v>
      </c>
      <c r="D286" s="122" t="s">
        <v>69</v>
      </c>
      <c r="E286" s="13"/>
      <c r="F286" s="13"/>
      <c r="G286" s="13"/>
      <c r="H286" s="13"/>
      <c r="I286" s="13"/>
      <c r="J286" s="13"/>
    </row>
    <row r="287" spans="1:10" ht="27.6" hidden="1" x14ac:dyDescent="0.25">
      <c r="A287" s="121"/>
      <c r="B287" s="121" t="str">
        <f>Cirkuleringsgreb!C8</f>
        <v>Downcycling</v>
      </c>
      <c r="C287" s="123">
        <v>0.45</v>
      </c>
      <c r="D287" s="122" t="s">
        <v>70</v>
      </c>
      <c r="E287" s="13"/>
      <c r="F287" s="13"/>
      <c r="G287" s="13"/>
      <c r="H287" s="13"/>
      <c r="I287" s="13"/>
      <c r="J287" s="13"/>
    </row>
    <row r="288" spans="1:10" hidden="1" x14ac:dyDescent="0.25">
      <c r="A288" s="121"/>
      <c r="B288" s="121"/>
      <c r="C288" s="121"/>
      <c r="D288" s="122"/>
      <c r="E288" s="13"/>
      <c r="F288" s="13"/>
      <c r="G288" s="13"/>
      <c r="H288" s="13"/>
      <c r="I288" s="13"/>
      <c r="J288" s="13"/>
    </row>
    <row r="289" spans="1:10" hidden="1" x14ac:dyDescent="0.25">
      <c r="A289" s="124" t="s">
        <v>27</v>
      </c>
      <c r="B289" s="124"/>
      <c r="C289" s="124"/>
      <c r="D289" s="125"/>
      <c r="E289" s="13"/>
      <c r="F289" s="13"/>
      <c r="G289" s="13"/>
      <c r="H289" s="13"/>
      <c r="I289" s="13"/>
      <c r="J289" s="13"/>
    </row>
    <row r="290" spans="1:10" hidden="1" x14ac:dyDescent="0.25">
      <c r="A290" s="124"/>
      <c r="B290" s="124" t="str">
        <f>B285</f>
        <v>Genbrug</v>
      </c>
      <c r="C290" s="126">
        <v>1</v>
      </c>
      <c r="D290" s="125"/>
      <c r="E290" s="13"/>
      <c r="F290" s="13"/>
      <c r="G290" s="13"/>
      <c r="H290" s="13"/>
      <c r="I290" s="13"/>
      <c r="J290" s="13"/>
    </row>
    <row r="291" spans="1:10" hidden="1" x14ac:dyDescent="0.25">
      <c r="A291" s="124"/>
      <c r="B291" s="124" t="str">
        <f>B286</f>
        <v>Upcycling</v>
      </c>
      <c r="C291" s="126">
        <v>0.85</v>
      </c>
      <c r="D291" s="125" t="s">
        <v>73</v>
      </c>
      <c r="E291" s="13"/>
      <c r="F291" s="13"/>
      <c r="G291" s="13"/>
      <c r="H291" s="13"/>
      <c r="I291" s="13"/>
      <c r="J291" s="13"/>
    </row>
    <row r="292" spans="1:10" ht="27.6" hidden="1" x14ac:dyDescent="0.25">
      <c r="A292" s="124"/>
      <c r="B292" s="124" t="str">
        <f>B287</f>
        <v>Downcycling</v>
      </c>
      <c r="C292" s="126">
        <v>0.45</v>
      </c>
      <c r="D292" s="125" t="s">
        <v>70</v>
      </c>
      <c r="E292" s="13"/>
      <c r="F292" s="13"/>
      <c r="G292" s="13"/>
      <c r="H292" s="13"/>
      <c r="I292" s="13"/>
      <c r="J292" s="13"/>
    </row>
    <row r="293" spans="1:10" hidden="1" x14ac:dyDescent="0.25">
      <c r="A293" s="124"/>
      <c r="B293" s="124"/>
      <c r="C293" s="124"/>
      <c r="D293" s="125"/>
      <c r="E293" s="13"/>
      <c r="F293" s="13"/>
      <c r="G293" s="13"/>
      <c r="H293" s="13"/>
      <c r="I293" s="13"/>
      <c r="J293" s="13"/>
    </row>
    <row r="294" spans="1:10" hidden="1" x14ac:dyDescent="0.25">
      <c r="A294" s="121" t="s">
        <v>0</v>
      </c>
      <c r="B294" s="121"/>
      <c r="C294" s="121"/>
      <c r="D294" s="122"/>
      <c r="E294" s="13"/>
      <c r="F294" s="13"/>
      <c r="G294" s="13"/>
      <c r="H294" s="13"/>
      <c r="I294" s="13"/>
      <c r="J294" s="13"/>
    </row>
    <row r="295" spans="1:10" hidden="1" x14ac:dyDescent="0.25">
      <c r="A295" s="121"/>
      <c r="B295" s="121" t="str">
        <f>B285</f>
        <v>Genbrug</v>
      </c>
      <c r="C295" s="123">
        <v>1</v>
      </c>
      <c r="D295" s="122"/>
      <c r="E295" s="13"/>
      <c r="F295" s="13"/>
      <c r="G295" s="13"/>
      <c r="H295" s="13"/>
      <c r="I295" s="13"/>
      <c r="J295" s="13"/>
    </row>
    <row r="296" spans="1:10" hidden="1" x14ac:dyDescent="0.25">
      <c r="A296" s="121"/>
      <c r="B296" s="121" t="str">
        <f>B286</f>
        <v>Upcycling</v>
      </c>
      <c r="C296" s="123">
        <v>0.8</v>
      </c>
      <c r="D296" s="122" t="s">
        <v>74</v>
      </c>
      <c r="E296" s="13"/>
      <c r="F296" s="13"/>
      <c r="G296" s="13"/>
      <c r="H296" s="13"/>
      <c r="I296" s="13"/>
      <c r="J296" s="13"/>
    </row>
    <row r="297" spans="1:10" ht="27.6" hidden="1" x14ac:dyDescent="0.25">
      <c r="A297" s="121"/>
      <c r="B297" s="121" t="str">
        <f>B287</f>
        <v>Downcycling</v>
      </c>
      <c r="C297" s="123">
        <v>0.45</v>
      </c>
      <c r="D297" s="122" t="s">
        <v>70</v>
      </c>
      <c r="E297" s="13"/>
      <c r="F297" s="13"/>
      <c r="G297" s="13"/>
      <c r="H297" s="13"/>
      <c r="I297" s="13"/>
      <c r="J297" s="13"/>
    </row>
    <row r="298" spans="1:10" hidden="1" x14ac:dyDescent="0.25">
      <c r="A298" s="121"/>
      <c r="B298" s="121"/>
      <c r="C298" s="121"/>
      <c r="D298" s="122"/>
      <c r="E298" s="13"/>
      <c r="F298" s="13"/>
      <c r="G298" s="13"/>
      <c r="H298" s="13"/>
      <c r="I298" s="13"/>
      <c r="J298" s="13"/>
    </row>
    <row r="299" spans="1:10" hidden="1" x14ac:dyDescent="0.25">
      <c r="A299" s="121"/>
      <c r="B299" s="121"/>
      <c r="C299" s="121"/>
      <c r="D299" s="122"/>
      <c r="E299" s="13"/>
      <c r="F299" s="13"/>
      <c r="G299" s="13"/>
      <c r="H299" s="13"/>
      <c r="I299" s="13"/>
      <c r="J299" s="13"/>
    </row>
    <row r="300" spans="1:10" hidden="1" x14ac:dyDescent="0.25">
      <c r="A300" s="121"/>
      <c r="B300" s="121"/>
      <c r="C300" s="121"/>
      <c r="D300" s="122"/>
      <c r="E300" s="13"/>
      <c r="F300" s="13"/>
      <c r="G300" s="13"/>
      <c r="H300" s="13"/>
      <c r="I300" s="13"/>
      <c r="J300" s="13"/>
    </row>
    <row r="301" spans="1:10" hidden="1" x14ac:dyDescent="0.25">
      <c r="A301" s="121"/>
      <c r="B301" s="121"/>
      <c r="C301" s="121"/>
      <c r="D301" s="122"/>
      <c r="E301" s="13"/>
      <c r="F301" s="13"/>
      <c r="G301" s="13"/>
      <c r="H301" s="13"/>
      <c r="I301" s="13"/>
      <c r="J301" s="13"/>
    </row>
    <row r="302" spans="1:10" ht="23.4" x14ac:dyDescent="0.4">
      <c r="A302" s="489" t="s">
        <v>305</v>
      </c>
      <c r="B302" s="490"/>
      <c r="C302" s="490"/>
      <c r="D302" s="491"/>
      <c r="E302" s="13"/>
      <c r="F302" s="13"/>
      <c r="G302" s="13"/>
      <c r="H302" s="13"/>
      <c r="I302" s="13"/>
      <c r="J302" s="13"/>
    </row>
    <row r="303" spans="1:10" ht="15" x14ac:dyDescent="0.25">
      <c r="A303" s="331" t="s">
        <v>20</v>
      </c>
      <c r="B303" s="331" t="s">
        <v>295</v>
      </c>
      <c r="C303" s="331" t="s">
        <v>296</v>
      </c>
      <c r="D303" s="278" t="s">
        <v>297</v>
      </c>
      <c r="E303" s="13"/>
      <c r="F303" s="13"/>
      <c r="G303" s="13"/>
      <c r="H303" s="13"/>
      <c r="I303" s="13"/>
      <c r="J303" s="13"/>
    </row>
    <row r="304" spans="1:10" x14ac:dyDescent="0.25">
      <c r="A304" s="124" t="s">
        <v>31</v>
      </c>
      <c r="B304" s="124"/>
      <c r="C304" s="124"/>
      <c r="D304" s="124" t="s">
        <v>410</v>
      </c>
      <c r="E304" s="13"/>
      <c r="F304" s="13"/>
      <c r="G304" s="13"/>
      <c r="H304" s="13"/>
      <c r="I304" s="13"/>
      <c r="J304" s="13"/>
    </row>
    <row r="305" spans="1:10" x14ac:dyDescent="0.25">
      <c r="A305" s="124"/>
      <c r="B305" s="124" t="str">
        <f>B264</f>
        <v>Genbrug på matriklen</v>
      </c>
      <c r="C305" s="126">
        <v>1</v>
      </c>
      <c r="D305" s="125"/>
      <c r="E305" s="13"/>
      <c r="F305" s="13"/>
      <c r="G305" s="13"/>
      <c r="H305" s="13"/>
      <c r="I305" s="13"/>
      <c r="J305" s="13"/>
    </row>
    <row r="306" spans="1:10" x14ac:dyDescent="0.25">
      <c r="A306" s="124"/>
      <c r="B306" s="124" t="str">
        <f>B265</f>
        <v>Genanvendelse uden for matriklen</v>
      </c>
      <c r="C306" s="126">
        <v>1</v>
      </c>
      <c r="D306" s="125"/>
      <c r="E306" s="13"/>
      <c r="F306" s="13"/>
      <c r="G306" s="13"/>
      <c r="H306" s="13"/>
      <c r="I306" s="13"/>
      <c r="J306" s="13"/>
    </row>
    <row r="307" spans="1:10" x14ac:dyDescent="0.25">
      <c r="A307" s="124"/>
      <c r="B307" s="124" t="str">
        <f>B266</f>
        <v>Deponi</v>
      </c>
      <c r="C307" s="126">
        <v>0</v>
      </c>
      <c r="D307" s="125"/>
      <c r="E307" s="13"/>
      <c r="F307" s="13"/>
      <c r="G307" s="13"/>
      <c r="H307" s="13"/>
      <c r="I307" s="13"/>
      <c r="J307" s="13"/>
    </row>
    <row r="308" spans="1:10" x14ac:dyDescent="0.25">
      <c r="A308" s="124"/>
      <c r="B308" s="124"/>
      <c r="C308" s="126"/>
      <c r="D308" s="125"/>
      <c r="E308" s="13"/>
      <c r="F308" s="13"/>
      <c r="G308" s="13"/>
      <c r="H308" s="13"/>
      <c r="I308" s="13"/>
      <c r="J308" s="13"/>
    </row>
    <row r="309" spans="1:10" x14ac:dyDescent="0.25">
      <c r="A309" s="121" t="s">
        <v>105</v>
      </c>
      <c r="B309" s="121"/>
      <c r="C309" s="123"/>
      <c r="D309" s="121" t="s">
        <v>410</v>
      </c>
      <c r="E309" s="13"/>
      <c r="F309" s="13"/>
      <c r="G309" s="13"/>
      <c r="H309" s="13"/>
      <c r="I309" s="13"/>
      <c r="J309" s="13"/>
    </row>
    <row r="310" spans="1:10" x14ac:dyDescent="0.25">
      <c r="A310" s="121"/>
      <c r="B310" s="121" t="str">
        <f>B268</f>
        <v>Genbrug på matriklen</v>
      </c>
      <c r="C310" s="123">
        <v>1</v>
      </c>
      <c r="D310" s="122"/>
      <c r="E310" s="13"/>
      <c r="F310" s="13"/>
      <c r="G310" s="13"/>
      <c r="H310" s="13"/>
      <c r="I310" s="13"/>
      <c r="J310" s="13"/>
    </row>
    <row r="311" spans="1:10" x14ac:dyDescent="0.25">
      <c r="A311" s="121"/>
      <c r="B311" s="121" t="str">
        <f>B269</f>
        <v xml:space="preserve">Genanvendelse uden for matriklen </v>
      </c>
      <c r="C311" s="123">
        <v>0.9</v>
      </c>
      <c r="D311" s="122"/>
      <c r="E311" s="13"/>
      <c r="F311" s="13"/>
      <c r="G311" s="13"/>
      <c r="H311" s="13"/>
      <c r="I311" s="13"/>
      <c r="J311" s="13"/>
    </row>
    <row r="312" spans="1:10" x14ac:dyDescent="0.25">
      <c r="A312" s="121"/>
      <c r="B312" s="121" t="str">
        <f>B270</f>
        <v>Downcycling</v>
      </c>
      <c r="C312" s="123">
        <v>0.95</v>
      </c>
      <c r="D312" s="122"/>
      <c r="E312" s="13"/>
      <c r="F312" s="13"/>
      <c r="G312" s="13"/>
      <c r="H312" s="13"/>
      <c r="I312" s="13"/>
      <c r="J312" s="13"/>
    </row>
    <row r="313" spans="1:10" x14ac:dyDescent="0.25">
      <c r="A313" s="121"/>
      <c r="B313" s="121"/>
      <c r="C313" s="123"/>
      <c r="D313" s="122"/>
      <c r="E313" s="13"/>
      <c r="F313" s="13"/>
      <c r="G313" s="13"/>
      <c r="H313" s="13"/>
      <c r="I313" s="13"/>
      <c r="J313" s="13"/>
    </row>
    <row r="314" spans="1:10" x14ac:dyDescent="0.25">
      <c r="A314" s="124" t="s">
        <v>115</v>
      </c>
      <c r="B314" s="124"/>
      <c r="C314" s="126"/>
      <c r="D314" s="124" t="s">
        <v>410</v>
      </c>
      <c r="E314" s="13"/>
      <c r="F314" s="13"/>
      <c r="G314" s="13"/>
      <c r="H314" s="13"/>
      <c r="I314" s="13"/>
      <c r="J314" s="13"/>
    </row>
    <row r="315" spans="1:10" x14ac:dyDescent="0.25">
      <c r="A315" s="124"/>
      <c r="B315" s="124" t="str">
        <f>B273</f>
        <v>Genbrug</v>
      </c>
      <c r="C315" s="126">
        <v>0.95</v>
      </c>
      <c r="D315" s="125"/>
      <c r="E315" s="13"/>
      <c r="F315" s="13"/>
      <c r="G315" s="13"/>
      <c r="H315" s="13"/>
      <c r="I315" s="13"/>
      <c r="J315" s="13"/>
    </row>
    <row r="316" spans="1:10" x14ac:dyDescent="0.25">
      <c r="A316" s="124"/>
      <c r="B316" s="124" t="str">
        <f>B274</f>
        <v>Upcycling</v>
      </c>
      <c r="C316" s="126">
        <v>0.5</v>
      </c>
      <c r="D316" s="125"/>
      <c r="E316" s="13"/>
      <c r="F316" s="13"/>
      <c r="G316" s="13"/>
      <c r="H316" s="13"/>
      <c r="I316" s="13"/>
      <c r="J316" s="13"/>
    </row>
    <row r="317" spans="1:10" x14ac:dyDescent="0.25">
      <c r="A317" s="124"/>
      <c r="B317" s="124" t="str">
        <f>B275</f>
        <v>Downcycling</v>
      </c>
      <c r="C317" s="126">
        <v>1</v>
      </c>
      <c r="D317" s="125"/>
      <c r="E317" s="13"/>
      <c r="F317" s="13"/>
      <c r="G317" s="13"/>
      <c r="H317" s="13"/>
      <c r="I317" s="13"/>
      <c r="J317" s="13"/>
    </row>
    <row r="318" spans="1:10" x14ac:dyDescent="0.25">
      <c r="A318" s="124"/>
      <c r="B318" s="124"/>
      <c r="C318" s="124"/>
      <c r="D318" s="125"/>
      <c r="E318" s="13"/>
      <c r="F318" s="13"/>
      <c r="G318" s="13"/>
      <c r="H318" s="13"/>
      <c r="I318" s="13"/>
      <c r="J318" s="13"/>
    </row>
    <row r="319" spans="1:10" x14ac:dyDescent="0.25">
      <c r="A319" s="127"/>
      <c r="B319" s="127"/>
      <c r="C319" s="127"/>
      <c r="D319" s="128"/>
      <c r="E319" s="13"/>
      <c r="F319" s="13"/>
      <c r="G319" s="13"/>
      <c r="H319" s="13"/>
      <c r="I319" s="13"/>
      <c r="J319" s="13"/>
    </row>
    <row r="320" spans="1:10" x14ac:dyDescent="0.25">
      <c r="A320" s="67"/>
      <c r="B320" s="67"/>
      <c r="C320" s="67"/>
      <c r="D320" s="13"/>
      <c r="E320" s="13"/>
      <c r="F320" s="13"/>
      <c r="G320" s="13"/>
      <c r="H320" s="13"/>
      <c r="I320" s="13"/>
      <c r="J320" s="13"/>
    </row>
    <row r="321" spans="1:10" x14ac:dyDescent="0.25">
      <c r="A321" s="67"/>
      <c r="B321" s="67"/>
      <c r="C321" s="67"/>
      <c r="D321" s="13"/>
      <c r="E321" s="13"/>
      <c r="F321" s="13"/>
      <c r="G321" s="13"/>
      <c r="H321" s="13"/>
      <c r="I321" s="13"/>
      <c r="J321" s="13"/>
    </row>
    <row r="322" spans="1:10" ht="68.400000000000006" x14ac:dyDescent="0.25">
      <c r="A322" s="294" t="s">
        <v>322</v>
      </c>
      <c r="B322" s="94"/>
      <c r="C322" s="94"/>
      <c r="D322" s="95"/>
      <c r="E322" s="95"/>
      <c r="F322" s="95"/>
      <c r="G322" s="95"/>
      <c r="H322" s="95"/>
      <c r="I322" s="95"/>
      <c r="J322" s="95"/>
    </row>
    <row r="323" spans="1:10" s="13" customFormat="1" x14ac:dyDescent="0.25"/>
    <row r="324" spans="1:10" ht="30" x14ac:dyDescent="0.25">
      <c r="A324" s="504" t="s">
        <v>79</v>
      </c>
      <c r="B324" s="67"/>
      <c r="C324" s="67"/>
      <c r="D324" s="13"/>
      <c r="E324" s="13"/>
      <c r="F324" s="13"/>
      <c r="G324" s="13"/>
      <c r="H324" s="13"/>
      <c r="I324" s="13"/>
      <c r="J324" s="13"/>
    </row>
    <row r="325" spans="1:10" x14ac:dyDescent="0.25">
      <c r="A325" s="337" t="s">
        <v>80</v>
      </c>
      <c r="B325" s="280" t="s">
        <v>81</v>
      </c>
      <c r="C325" s="337" t="s">
        <v>4</v>
      </c>
      <c r="D325" s="338" t="s">
        <v>297</v>
      </c>
      <c r="E325" s="13"/>
      <c r="F325" s="13"/>
      <c r="G325" s="13"/>
      <c r="H325" s="13"/>
      <c r="I325" s="13"/>
      <c r="J325" s="13"/>
    </row>
    <row r="326" spans="1:10" ht="43.2" x14ac:dyDescent="0.3">
      <c r="A326" s="343" t="s">
        <v>82</v>
      </c>
      <c r="B326" s="339">
        <v>19034</v>
      </c>
      <c r="C326" s="340" t="s">
        <v>83</v>
      </c>
      <c r="D326" s="514" t="s">
        <v>411</v>
      </c>
      <c r="E326" s="13"/>
      <c r="G326" s="13"/>
      <c r="H326" s="13"/>
      <c r="I326" s="13"/>
      <c r="J326" s="13"/>
    </row>
    <row r="327" spans="1:10" x14ac:dyDescent="0.25">
      <c r="A327" s="67"/>
      <c r="B327" s="67"/>
      <c r="C327" s="67"/>
      <c r="D327" s="13"/>
      <c r="E327" s="13"/>
      <c r="F327" s="13"/>
      <c r="G327" s="13"/>
      <c r="H327" s="13"/>
      <c r="I327" s="13"/>
      <c r="J327" s="13"/>
    </row>
    <row r="328" spans="1:10" ht="15" x14ac:dyDescent="0.25">
      <c r="A328" s="504" t="s">
        <v>108</v>
      </c>
      <c r="B328" s="67"/>
      <c r="C328" s="67"/>
      <c r="D328" s="13"/>
      <c r="E328" s="13"/>
      <c r="F328" s="13"/>
      <c r="G328" s="13"/>
      <c r="H328" s="13"/>
      <c r="I328" s="13"/>
      <c r="J328" s="13"/>
    </row>
    <row r="329" spans="1:10" x14ac:dyDescent="0.25">
      <c r="A329" s="280" t="s">
        <v>80</v>
      </c>
      <c r="B329" s="280" t="s">
        <v>298</v>
      </c>
      <c r="C329" s="280" t="s">
        <v>63</v>
      </c>
      <c r="D329" s="338" t="s">
        <v>297</v>
      </c>
      <c r="E329" s="13"/>
      <c r="F329" s="13"/>
      <c r="G329" s="13"/>
      <c r="H329" s="13"/>
      <c r="I329" s="13"/>
      <c r="J329" s="13"/>
    </row>
    <row r="330" spans="1:10" s="13" customFormat="1" ht="28.8" x14ac:dyDescent="0.3">
      <c r="A330" s="344" t="s">
        <v>82</v>
      </c>
      <c r="B330" s="342">
        <v>447</v>
      </c>
      <c r="C330" s="342" t="s">
        <v>109</v>
      </c>
      <c r="D330" s="514" t="s">
        <v>412</v>
      </c>
    </row>
    <row r="331" spans="1:10" x14ac:dyDescent="0.25">
      <c r="A331" s="67"/>
      <c r="B331" s="67"/>
      <c r="C331" s="67"/>
      <c r="D331" s="13"/>
      <c r="E331" s="13"/>
      <c r="F331" s="13"/>
      <c r="G331" s="13"/>
      <c r="H331" s="13"/>
      <c r="I331" s="13"/>
      <c r="J331" s="13"/>
    </row>
    <row r="332" spans="1:10" x14ac:dyDescent="0.25">
      <c r="A332" s="67"/>
      <c r="B332" s="67"/>
      <c r="C332" s="67"/>
      <c r="D332" s="13"/>
      <c r="E332" s="13"/>
      <c r="F332" s="13"/>
      <c r="G332" s="13"/>
      <c r="H332" s="13"/>
      <c r="I332" s="13"/>
      <c r="J332" s="13"/>
    </row>
    <row r="333" spans="1:10" x14ac:dyDescent="0.25">
      <c r="A333" s="67"/>
      <c r="B333" s="67"/>
      <c r="C333" s="67"/>
      <c r="D333" s="13"/>
      <c r="E333" s="13"/>
      <c r="F333" s="13"/>
      <c r="G333" s="13"/>
      <c r="H333" s="13"/>
      <c r="I333" s="13"/>
      <c r="J333" s="13"/>
    </row>
    <row r="334" spans="1:10" x14ac:dyDescent="0.25">
      <c r="A334" s="67"/>
      <c r="B334" s="67"/>
      <c r="C334" s="67"/>
      <c r="D334" s="13"/>
      <c r="E334" s="13"/>
      <c r="F334" s="13"/>
      <c r="G334" s="13"/>
      <c r="H334" s="13"/>
      <c r="I334" s="13"/>
      <c r="J334" s="13"/>
    </row>
    <row r="335" spans="1:10" x14ac:dyDescent="0.25">
      <c r="A335" s="67"/>
      <c r="B335" s="67"/>
      <c r="C335" s="67"/>
      <c r="D335" s="13"/>
      <c r="E335" s="13"/>
      <c r="F335" s="13"/>
      <c r="G335" s="13"/>
      <c r="H335" s="13"/>
      <c r="I335" s="13"/>
      <c r="J335" s="13"/>
    </row>
    <row r="336" spans="1:10" x14ac:dyDescent="0.25">
      <c r="A336" s="67"/>
      <c r="B336" s="67"/>
      <c r="C336" s="67"/>
      <c r="D336" s="13"/>
      <c r="E336" s="13"/>
      <c r="F336" s="13"/>
      <c r="G336" s="13"/>
      <c r="H336" s="13"/>
      <c r="I336" s="13"/>
      <c r="J336" s="13"/>
    </row>
    <row r="337" spans="1:10" ht="34.200000000000003" x14ac:dyDescent="0.25">
      <c r="A337" s="294" t="s">
        <v>22</v>
      </c>
      <c r="B337" s="94"/>
      <c r="C337" s="94"/>
      <c r="D337" s="95"/>
      <c r="E337" s="95"/>
      <c r="F337" s="95"/>
      <c r="G337" s="95"/>
      <c r="H337" s="95"/>
      <c r="I337" s="95"/>
      <c r="J337" s="95"/>
    </row>
    <row r="338" spans="1:10" ht="69" x14ac:dyDescent="0.25">
      <c r="A338" s="67" t="s">
        <v>124</v>
      </c>
      <c r="B338" s="67"/>
      <c r="C338" s="67"/>
      <c r="D338" s="13"/>
      <c r="E338" s="13"/>
      <c r="F338" s="13"/>
      <c r="G338" s="13"/>
      <c r="H338" s="13"/>
      <c r="I338" s="13"/>
      <c r="J338" s="13"/>
    </row>
    <row r="339" spans="1:10" ht="27.6" x14ac:dyDescent="0.25">
      <c r="A339" s="67" t="s">
        <v>127</v>
      </c>
      <c r="B339" s="67"/>
      <c r="C339" s="67"/>
      <c r="D339" s="13"/>
      <c r="E339" s="13"/>
      <c r="F339" s="13"/>
      <c r="G339" s="13"/>
      <c r="H339" s="13"/>
      <c r="I339" s="13"/>
      <c r="J339" s="13"/>
    </row>
    <row r="340" spans="1:10" x14ac:dyDescent="0.25">
      <c r="A340" s="67"/>
      <c r="B340" s="67"/>
      <c r="C340" s="67"/>
      <c r="D340" s="13"/>
      <c r="E340" s="13"/>
      <c r="F340" s="13"/>
      <c r="G340" s="13"/>
      <c r="H340" s="13"/>
      <c r="I340" s="13"/>
      <c r="J340" s="13"/>
    </row>
    <row r="341" spans="1:10" x14ac:dyDescent="0.25">
      <c r="A341" s="67"/>
      <c r="B341" s="67"/>
      <c r="C341" s="67"/>
      <c r="D341" s="13"/>
      <c r="E341" s="13"/>
      <c r="F341" s="13"/>
      <c r="G341" s="13"/>
      <c r="H341" s="13"/>
      <c r="I341" s="13"/>
      <c r="J341" s="13"/>
    </row>
    <row r="342" spans="1:10" x14ac:dyDescent="0.25">
      <c r="A342" s="67"/>
      <c r="B342" s="67"/>
      <c r="C342" s="67"/>
      <c r="D342" s="13"/>
      <c r="E342" s="13"/>
      <c r="F342" s="13"/>
      <c r="G342" s="13"/>
      <c r="H342" s="13"/>
      <c r="I342" s="13"/>
      <c r="J342" s="13"/>
    </row>
    <row r="343" spans="1:10" x14ac:dyDescent="0.25">
      <c r="A343" s="67"/>
      <c r="B343" s="67"/>
      <c r="C343" s="67"/>
      <c r="D343" s="13"/>
      <c r="E343" s="13"/>
      <c r="F343" s="13"/>
      <c r="G343" s="13"/>
      <c r="H343" s="13"/>
      <c r="I343" s="13"/>
      <c r="J343" s="13"/>
    </row>
    <row r="344" spans="1:10" x14ac:dyDescent="0.25">
      <c r="A344" s="67"/>
      <c r="B344" s="67"/>
      <c r="C344" s="67"/>
      <c r="D344" s="13"/>
      <c r="E344" s="13"/>
      <c r="F344" s="13"/>
      <c r="G344" s="13"/>
      <c r="H344" s="13"/>
      <c r="I344" s="13"/>
      <c r="J344" s="13"/>
    </row>
    <row r="345" spans="1:10" x14ac:dyDescent="0.25">
      <c r="A345" s="67"/>
      <c r="B345" s="67"/>
      <c r="C345" s="67"/>
      <c r="D345" s="13"/>
      <c r="E345" s="13"/>
      <c r="F345" s="13"/>
      <c r="G345" s="13"/>
      <c r="H345" s="13"/>
      <c r="I345" s="13"/>
      <c r="J345" s="13"/>
    </row>
    <row r="346" spans="1:10" x14ac:dyDescent="0.25">
      <c r="A346" s="67"/>
      <c r="B346" s="67"/>
      <c r="C346" s="67"/>
      <c r="D346" s="13"/>
      <c r="E346" s="13"/>
      <c r="F346" s="13"/>
      <c r="G346" s="13"/>
      <c r="H346" s="13"/>
      <c r="I346" s="13"/>
      <c r="J346" s="13"/>
    </row>
    <row r="347" spans="1:10" x14ac:dyDescent="0.25">
      <c r="A347" s="67"/>
      <c r="B347" s="67"/>
      <c r="C347" s="67"/>
      <c r="D347" s="13"/>
      <c r="E347" s="13"/>
      <c r="F347" s="13"/>
      <c r="G347" s="13"/>
      <c r="H347" s="13"/>
      <c r="I347" s="13"/>
      <c r="J347" s="13"/>
    </row>
    <row r="348" spans="1:10" x14ac:dyDescent="0.25">
      <c r="A348" s="67"/>
      <c r="B348" s="67"/>
      <c r="C348" s="67"/>
      <c r="D348" s="13"/>
      <c r="E348" s="13"/>
      <c r="F348" s="13"/>
      <c r="G348" s="13"/>
      <c r="H348" s="13"/>
      <c r="I348" s="13"/>
      <c r="J348" s="13"/>
    </row>
    <row r="349" spans="1:10" x14ac:dyDescent="0.25">
      <c r="A349" s="67"/>
      <c r="B349" s="67"/>
      <c r="C349" s="67"/>
      <c r="D349" s="13"/>
      <c r="E349" s="13"/>
      <c r="F349" s="13"/>
      <c r="G349" s="13"/>
      <c r="H349" s="13"/>
      <c r="I349" s="13"/>
      <c r="J349" s="13"/>
    </row>
    <row r="350" spans="1:10" x14ac:dyDescent="0.25">
      <c r="A350" s="67"/>
      <c r="B350" s="67"/>
      <c r="C350" s="67"/>
      <c r="D350" s="13"/>
      <c r="E350" s="13"/>
      <c r="F350" s="13"/>
      <c r="G350" s="13"/>
      <c r="H350" s="13"/>
      <c r="I350" s="13"/>
      <c r="J350" s="13"/>
    </row>
    <row r="351" spans="1:10" x14ac:dyDescent="0.25">
      <c r="A351" s="67"/>
      <c r="B351" s="67"/>
      <c r="C351" s="67"/>
      <c r="D351" s="13"/>
      <c r="E351" s="13"/>
      <c r="F351" s="13"/>
      <c r="G351" s="13"/>
      <c r="H351" s="13"/>
      <c r="I351" s="13"/>
      <c r="J351" s="13"/>
    </row>
    <row r="352" spans="1:10" x14ac:dyDescent="0.25">
      <c r="A352" s="67"/>
      <c r="B352" s="67"/>
      <c r="C352" s="67"/>
      <c r="D352" s="13"/>
      <c r="E352" s="13"/>
      <c r="F352" s="13"/>
      <c r="G352" s="13"/>
      <c r="H352" s="13"/>
      <c r="I352" s="13"/>
      <c r="J352" s="13"/>
    </row>
    <row r="353" spans="1:1023 1025:2047 2049:3071 3073:4095 4097:5119 5121:6143 6145:7167 7169:8191 8193:9215 9217:10239 10241:11263 11265:12287 12289:13311 13313:14335 14337:15359 15361:16383" x14ac:dyDescent="0.25">
      <c r="A353" s="67"/>
      <c r="B353" s="67"/>
      <c r="C353" s="67"/>
      <c r="D353" s="13"/>
      <c r="E353" s="13"/>
      <c r="F353" s="13"/>
      <c r="G353" s="13"/>
      <c r="H353" s="13"/>
      <c r="I353" s="13"/>
      <c r="J353" s="13"/>
    </row>
    <row r="354" spans="1:1023 1025:2047 2049:3071 3073:4095 4097:5119 5121:6143 6145:7167 7169:8191 8193:9215 9217:10239 10241:11263 11265:12287 12289:13311 13313:14335 14337:15359 15361:16383" x14ac:dyDescent="0.25">
      <c r="A354" s="67"/>
      <c r="B354" s="67"/>
      <c r="C354" s="67"/>
      <c r="D354" s="13"/>
      <c r="E354" s="13"/>
      <c r="F354" s="13"/>
      <c r="G354" s="13"/>
      <c r="H354" s="13"/>
      <c r="I354" s="13"/>
      <c r="J354" s="13"/>
    </row>
    <row r="355" spans="1:1023 1025:2047 2049:3071 3073:4095 4097:5119 5121:6143 6145:7167 7169:8191 8193:9215 9217:10239 10241:11263 11265:12287 12289:13311 13313:14335 14337:15359 15361:16383" x14ac:dyDescent="0.25">
      <c r="A355" s="67"/>
      <c r="B355" s="67"/>
      <c r="C355" s="67"/>
      <c r="D355" s="13"/>
      <c r="E355" s="13"/>
      <c r="F355" s="13"/>
      <c r="G355" s="13"/>
      <c r="H355" s="13"/>
      <c r="I355" s="13"/>
      <c r="J355" s="13"/>
    </row>
    <row r="356" spans="1:1023 1025:2047 2049:3071 3073:4095 4097:5119 5121:6143 6145:7167 7169:8191 8193:9215 9217:10239 10241:11263 11265:12287 12289:13311 13313:14335 14337:15359 15361:16383" x14ac:dyDescent="0.25">
      <c r="A356" s="67"/>
      <c r="B356" s="67"/>
      <c r="C356" s="67"/>
      <c r="D356" s="13"/>
      <c r="E356" s="13"/>
      <c r="F356" s="13"/>
      <c r="G356" s="13"/>
      <c r="H356" s="13"/>
      <c r="I356" s="13"/>
      <c r="J356" s="13"/>
    </row>
    <row r="357" spans="1:1023 1025:2047 2049:3071 3073:4095 4097:5119 5121:6143 6145:7167 7169:8191 8193:9215 9217:10239 10241:11263 11265:12287 12289:13311 13313:14335 14337:15359 15361:16383" x14ac:dyDescent="0.25">
      <c r="A357" s="67"/>
      <c r="B357" s="67"/>
      <c r="C357" s="67"/>
      <c r="D357" s="13"/>
      <c r="E357" s="13"/>
      <c r="F357" s="13"/>
      <c r="G357" s="13"/>
      <c r="H357" s="13"/>
      <c r="I357" s="13"/>
      <c r="J357" s="13"/>
    </row>
    <row r="358" spans="1:1023 1025:2047 2049:3071 3073:4095 4097:5119 5121:6143 6145:7167 7169:8191 8193:9215 9217:10239 10241:11263 11265:12287 12289:13311 13313:14335 14337:15359 15361:16383" x14ac:dyDescent="0.25">
      <c r="A358" s="67"/>
      <c r="B358" s="67"/>
      <c r="C358" s="67"/>
      <c r="D358" s="13"/>
      <c r="E358" s="13"/>
      <c r="F358" s="13"/>
      <c r="G358" s="13"/>
      <c r="H358" s="13"/>
      <c r="I358" s="13"/>
      <c r="J358" s="13"/>
    </row>
    <row r="359" spans="1:1023 1025:2047 2049:3071 3073:4095 4097:5119 5121:6143 6145:7167 7169:8191 8193:9215 9217:10239 10241:11263 11265:12287 12289:13311 13313:14335 14337:15359 15361:16383" x14ac:dyDescent="0.25">
      <c r="A359" s="67"/>
      <c r="B359" s="67"/>
      <c r="C359" s="67"/>
      <c r="D359" s="13"/>
      <c r="E359" s="13"/>
      <c r="F359" s="13"/>
      <c r="G359" s="13"/>
      <c r="H359" s="13"/>
      <c r="I359" s="13"/>
      <c r="J359" s="13"/>
    </row>
    <row r="360" spans="1:1023 1025:2047 2049:3071 3073:4095 4097:5119 5121:6143 6145:7167 7169:8191 8193:9215 9217:10239 10241:11263 11265:12287 12289:13311 13313:14335 14337:15359 15361:16383" x14ac:dyDescent="0.25">
      <c r="A360" s="67"/>
      <c r="B360" s="67"/>
      <c r="C360" s="67"/>
      <c r="D360" s="13"/>
      <c r="E360" s="13"/>
      <c r="F360" s="13"/>
      <c r="G360" s="13"/>
      <c r="H360" s="13"/>
      <c r="I360" s="13"/>
      <c r="J360" s="13"/>
    </row>
    <row r="361" spans="1:1023 1025:2047 2049:3071 3073:4095 4097:5119 5121:6143 6145:7167 7169:8191 8193:9215 9217:10239 10241:11263 11265:12287 12289:13311 13313:14335 14337:15359 15361:16383" x14ac:dyDescent="0.25">
      <c r="A361" s="67"/>
      <c r="B361" s="67"/>
      <c r="C361" s="67"/>
      <c r="D361" s="13"/>
      <c r="E361" s="13"/>
      <c r="F361" s="13"/>
      <c r="G361" s="13"/>
      <c r="H361" s="13"/>
      <c r="I361" s="13"/>
      <c r="J361" s="13"/>
    </row>
    <row r="362" spans="1:1023 1025:2047 2049:3071 3073:4095 4097:5119 5121:6143 6145:7167 7169:8191 8193:9215 9217:10239 10241:11263 11265:12287 12289:13311 13313:14335 14337:15359 15361:16383" x14ac:dyDescent="0.25">
      <c r="A362" s="67"/>
      <c r="B362" s="67"/>
      <c r="C362" s="67"/>
      <c r="D362" s="13"/>
      <c r="E362" s="13"/>
      <c r="F362" s="13"/>
      <c r="G362" s="13"/>
      <c r="H362" s="13"/>
      <c r="I362" s="13"/>
      <c r="J362" s="13"/>
    </row>
    <row r="363" spans="1:1023 1025:2047 2049:3071 3073:4095 4097:5119 5121:6143 6145:7167 7169:8191 8193:9215 9217:10239 10241:11263 11265:12287 12289:13311 13313:14335 14337:15359 15361:16383" x14ac:dyDescent="0.25">
      <c r="A363" s="67"/>
      <c r="B363" s="67"/>
      <c r="C363" s="67"/>
      <c r="D363" s="13"/>
      <c r="E363" s="13"/>
      <c r="F363" s="13"/>
      <c r="G363" s="13"/>
      <c r="H363" s="13"/>
      <c r="I363" s="13"/>
      <c r="J363" s="13"/>
    </row>
    <row r="364" spans="1:1023 1025:2047 2049:3071 3073:4095 4097:5119 5121:6143 6145:7167 7169:8191 8193:9215 9217:10239 10241:11263 11265:12287 12289:13311 13313:14335 14337:15359 15361:16383" x14ac:dyDescent="0.25">
      <c r="A364" s="67"/>
      <c r="B364" s="67"/>
      <c r="C364" s="67"/>
      <c r="D364" s="13"/>
      <c r="E364" s="13"/>
      <c r="F364" s="13"/>
      <c r="G364" s="13"/>
      <c r="H364" s="13"/>
      <c r="I364" s="13"/>
      <c r="J364" s="13"/>
    </row>
    <row r="365" spans="1:1023 1025:2047 2049:3071 3073:4095 4097:5119 5121:6143 6145:7167 7169:8191 8193:9215 9217:10239 10241:11263 11265:12287 12289:13311 13313:14335 14337:15359 15361:16383" x14ac:dyDescent="0.25">
      <c r="A365" s="67"/>
      <c r="B365" s="67"/>
      <c r="C365" s="67"/>
      <c r="D365" s="13"/>
      <c r="E365" s="13"/>
      <c r="F365" s="13"/>
      <c r="G365" s="13"/>
      <c r="H365" s="13"/>
      <c r="I365" s="13"/>
      <c r="J365" s="13"/>
    </row>
    <row r="366" spans="1:1023 1025:2047 2049:3071 3073:4095 4097:5119 5121:6143 6145:7167 7169:8191 8193:9215 9217:10239 10241:11263 11265:12287 12289:13311 13313:14335 14337:15359 15361:16383" x14ac:dyDescent="0.25">
      <c r="A366" s="67"/>
      <c r="B366" s="67"/>
      <c r="C366" s="67"/>
      <c r="D366" s="13"/>
      <c r="E366" s="13"/>
      <c r="F366" s="13"/>
      <c r="G366" s="13"/>
      <c r="H366" s="13"/>
      <c r="I366" s="13"/>
      <c r="J366" s="13"/>
    </row>
    <row r="367" spans="1:1023 1025:2047 2049:3071 3073:4095 4097:5119 5121:6143 6145:7167 7169:8191 8193:9215 9217:10239 10241:11263 11265:12287 12289:13311 13313:14335 14337:15359 15361:16383" ht="12.6" customHeight="1" x14ac:dyDescent="0.25">
      <c r="A367" s="67"/>
      <c r="B367" s="67"/>
      <c r="C367" s="67"/>
      <c r="D367" s="13"/>
      <c r="E367" s="13"/>
      <c r="F367" s="13"/>
      <c r="G367" s="13"/>
      <c r="H367" s="13"/>
      <c r="I367" s="13"/>
      <c r="J367" s="13"/>
    </row>
    <row r="368" spans="1:1023 1025:2047 2049:3071 3073:4095 4097:5119 5121:6143 6145:7167 7169:8191 8193:9215 9217:10239 10241:11263 11265:12287 12289:13311 13313:14335 14337:15359 15361:16383" s="13" customFormat="1" ht="0.9" customHeight="1" x14ac:dyDescent="0.4">
      <c r="A368" s="335" t="s">
        <v>292</v>
      </c>
      <c r="B368" s="291"/>
      <c r="C368" s="291"/>
      <c r="D368" s="292"/>
      <c r="E368" s="292"/>
      <c r="F368" s="292"/>
      <c r="G368" s="67"/>
      <c r="I368" s="357"/>
      <c r="J368" s="67"/>
      <c r="K368" s="67"/>
      <c r="M368" s="357"/>
      <c r="N368" s="67"/>
      <c r="O368" s="67"/>
      <c r="Q368" s="357"/>
      <c r="R368" s="67"/>
      <c r="S368" s="67"/>
      <c r="U368" s="357"/>
      <c r="V368" s="67"/>
      <c r="W368" s="67"/>
      <c r="Y368" s="357"/>
      <c r="Z368" s="67"/>
      <c r="AA368" s="67"/>
      <c r="AC368" s="357"/>
      <c r="AD368" s="67"/>
      <c r="AE368" s="67"/>
      <c r="AG368" s="357"/>
      <c r="AH368" s="67"/>
      <c r="AI368" s="67"/>
      <c r="AK368" s="357"/>
      <c r="AL368" s="67"/>
      <c r="AM368" s="67"/>
      <c r="AO368" s="357"/>
      <c r="AP368" s="67"/>
      <c r="AQ368" s="67"/>
      <c r="AS368" s="357"/>
      <c r="AT368" s="67"/>
      <c r="AU368" s="67"/>
      <c r="AW368" s="357"/>
      <c r="AX368" s="67"/>
      <c r="AY368" s="67"/>
      <c r="BA368" s="357"/>
      <c r="BB368" s="67"/>
      <c r="BC368" s="67"/>
      <c r="BE368" s="357"/>
      <c r="BF368" s="67"/>
      <c r="BG368" s="67"/>
      <c r="BI368" s="357"/>
      <c r="BJ368" s="67"/>
      <c r="BK368" s="67"/>
      <c r="BM368" s="357"/>
      <c r="BN368" s="67"/>
      <c r="BO368" s="67"/>
      <c r="BQ368" s="357"/>
      <c r="BR368" s="67"/>
      <c r="BS368" s="67"/>
      <c r="BU368" s="357"/>
      <c r="BV368" s="67"/>
      <c r="BW368" s="67"/>
      <c r="BY368" s="357"/>
      <c r="BZ368" s="67"/>
      <c r="CA368" s="67"/>
      <c r="CC368" s="357"/>
      <c r="CD368" s="67"/>
      <c r="CE368" s="67"/>
      <c r="CG368" s="357"/>
      <c r="CH368" s="67"/>
      <c r="CI368" s="67"/>
      <c r="CK368" s="357"/>
      <c r="CL368" s="67"/>
      <c r="CM368" s="67"/>
      <c r="CO368" s="357"/>
      <c r="CP368" s="67"/>
      <c r="CQ368" s="67"/>
      <c r="CS368" s="357"/>
      <c r="CT368" s="67"/>
      <c r="CU368" s="67"/>
      <c r="CW368" s="357"/>
      <c r="CX368" s="67"/>
      <c r="CY368" s="67"/>
      <c r="DA368" s="357"/>
      <c r="DB368" s="67"/>
      <c r="DC368" s="67"/>
      <c r="DE368" s="357"/>
      <c r="DF368" s="67"/>
      <c r="DG368" s="67"/>
      <c r="DI368" s="357"/>
      <c r="DJ368" s="67"/>
      <c r="DK368" s="67"/>
      <c r="DM368" s="357"/>
      <c r="DN368" s="67"/>
      <c r="DO368" s="67"/>
      <c r="DQ368" s="357"/>
      <c r="DR368" s="67"/>
      <c r="DS368" s="67"/>
      <c r="DU368" s="357"/>
      <c r="DV368" s="67"/>
      <c r="DW368" s="67"/>
      <c r="DY368" s="357"/>
      <c r="DZ368" s="67"/>
      <c r="EA368" s="67"/>
      <c r="EC368" s="357"/>
      <c r="ED368" s="67"/>
      <c r="EE368" s="67"/>
      <c r="EG368" s="357"/>
      <c r="EH368" s="67"/>
      <c r="EI368" s="67"/>
      <c r="EK368" s="357"/>
      <c r="EL368" s="67"/>
      <c r="EM368" s="67"/>
      <c r="EO368" s="357"/>
      <c r="EP368" s="67"/>
      <c r="EQ368" s="67"/>
      <c r="ES368" s="357"/>
      <c r="ET368" s="67"/>
      <c r="EU368" s="67"/>
      <c r="EW368" s="357"/>
      <c r="EX368" s="67"/>
      <c r="EY368" s="67"/>
      <c r="FA368" s="357"/>
      <c r="FB368" s="67"/>
      <c r="FC368" s="67"/>
      <c r="FE368" s="357"/>
      <c r="FF368" s="67"/>
      <c r="FG368" s="67"/>
      <c r="FI368" s="357"/>
      <c r="FJ368" s="67"/>
      <c r="FK368" s="67"/>
      <c r="FM368" s="357"/>
      <c r="FN368" s="67"/>
      <c r="FO368" s="67"/>
      <c r="FQ368" s="357"/>
      <c r="FR368" s="67"/>
      <c r="FS368" s="67"/>
      <c r="FU368" s="357"/>
      <c r="FV368" s="67"/>
      <c r="FW368" s="67"/>
      <c r="FY368" s="357"/>
      <c r="FZ368" s="67"/>
      <c r="GA368" s="67"/>
      <c r="GC368" s="357"/>
      <c r="GD368" s="67"/>
      <c r="GE368" s="67"/>
      <c r="GG368" s="357"/>
      <c r="GH368" s="67"/>
      <c r="GI368" s="67"/>
      <c r="GK368" s="357"/>
      <c r="GL368" s="67"/>
      <c r="GM368" s="67"/>
      <c r="GO368" s="357"/>
      <c r="GP368" s="67"/>
      <c r="GQ368" s="67"/>
      <c r="GS368" s="357"/>
      <c r="GT368" s="67"/>
      <c r="GU368" s="67"/>
      <c r="GW368" s="357"/>
      <c r="GX368" s="67"/>
      <c r="GY368" s="67"/>
      <c r="HA368" s="357"/>
      <c r="HB368" s="67"/>
      <c r="HC368" s="67"/>
      <c r="HE368" s="357"/>
      <c r="HF368" s="67"/>
      <c r="HG368" s="67"/>
      <c r="HI368" s="357"/>
      <c r="HJ368" s="67"/>
      <c r="HK368" s="67"/>
      <c r="HM368" s="357"/>
      <c r="HN368" s="67"/>
      <c r="HO368" s="67"/>
      <c r="HQ368" s="357"/>
      <c r="HR368" s="67"/>
      <c r="HS368" s="67"/>
      <c r="HU368" s="357"/>
      <c r="HV368" s="67"/>
      <c r="HW368" s="67"/>
      <c r="HY368" s="357"/>
      <c r="HZ368" s="67"/>
      <c r="IA368" s="67"/>
      <c r="IC368" s="357"/>
      <c r="ID368" s="67"/>
      <c r="IE368" s="67"/>
      <c r="IG368" s="357"/>
      <c r="IH368" s="67"/>
      <c r="II368" s="67"/>
      <c r="IK368" s="357"/>
      <c r="IL368" s="67"/>
      <c r="IM368" s="67"/>
      <c r="IO368" s="357"/>
      <c r="IP368" s="67"/>
      <c r="IQ368" s="67"/>
      <c r="IS368" s="357"/>
      <c r="IT368" s="67"/>
      <c r="IU368" s="67"/>
      <c r="IW368" s="357"/>
      <c r="IX368" s="67"/>
      <c r="IY368" s="67"/>
      <c r="JA368" s="357"/>
      <c r="JB368" s="67"/>
      <c r="JC368" s="67"/>
      <c r="JE368" s="357"/>
      <c r="JF368" s="67"/>
      <c r="JG368" s="67"/>
      <c r="JI368" s="357"/>
      <c r="JJ368" s="67"/>
      <c r="JK368" s="67"/>
      <c r="JM368" s="357"/>
      <c r="JN368" s="67"/>
      <c r="JO368" s="67"/>
      <c r="JQ368" s="357"/>
      <c r="JR368" s="67"/>
      <c r="JS368" s="67"/>
      <c r="JU368" s="357"/>
      <c r="JV368" s="67"/>
      <c r="JW368" s="67"/>
      <c r="JY368" s="357"/>
      <c r="JZ368" s="67"/>
      <c r="KA368" s="67"/>
      <c r="KC368" s="357"/>
      <c r="KD368" s="67"/>
      <c r="KE368" s="67"/>
      <c r="KG368" s="357"/>
      <c r="KH368" s="67"/>
      <c r="KI368" s="67"/>
      <c r="KK368" s="357"/>
      <c r="KL368" s="67"/>
      <c r="KM368" s="67"/>
      <c r="KO368" s="357"/>
      <c r="KP368" s="67"/>
      <c r="KQ368" s="67"/>
      <c r="KS368" s="357"/>
      <c r="KT368" s="67"/>
      <c r="KU368" s="67"/>
      <c r="KW368" s="357"/>
      <c r="KX368" s="67"/>
      <c r="KY368" s="67"/>
      <c r="LA368" s="357"/>
      <c r="LB368" s="67"/>
      <c r="LC368" s="67"/>
      <c r="LE368" s="357"/>
      <c r="LF368" s="67"/>
      <c r="LG368" s="67"/>
      <c r="LI368" s="357"/>
      <c r="LJ368" s="67"/>
      <c r="LK368" s="67"/>
      <c r="LM368" s="357"/>
      <c r="LN368" s="67"/>
      <c r="LO368" s="67"/>
      <c r="LQ368" s="357"/>
      <c r="LR368" s="67"/>
      <c r="LS368" s="67"/>
      <c r="LU368" s="357"/>
      <c r="LV368" s="67"/>
      <c r="LW368" s="67"/>
      <c r="LY368" s="357"/>
      <c r="LZ368" s="67"/>
      <c r="MA368" s="67"/>
      <c r="MC368" s="357"/>
      <c r="MD368" s="67"/>
      <c r="ME368" s="67"/>
      <c r="MG368" s="357"/>
      <c r="MH368" s="67"/>
      <c r="MI368" s="67"/>
      <c r="MK368" s="357"/>
      <c r="ML368" s="67"/>
      <c r="MM368" s="67"/>
      <c r="MO368" s="357"/>
      <c r="MP368" s="67"/>
      <c r="MQ368" s="67"/>
      <c r="MS368" s="357"/>
      <c r="MT368" s="67"/>
      <c r="MU368" s="67"/>
      <c r="MW368" s="357"/>
      <c r="MX368" s="67"/>
      <c r="MY368" s="67"/>
      <c r="NA368" s="357"/>
      <c r="NB368" s="67"/>
      <c r="NC368" s="67"/>
      <c r="NE368" s="357"/>
      <c r="NF368" s="67"/>
      <c r="NG368" s="67"/>
      <c r="NI368" s="357"/>
      <c r="NJ368" s="67"/>
      <c r="NK368" s="67"/>
      <c r="NM368" s="357"/>
      <c r="NN368" s="67"/>
      <c r="NO368" s="67"/>
      <c r="NQ368" s="357"/>
      <c r="NR368" s="67"/>
      <c r="NS368" s="67"/>
      <c r="NU368" s="357"/>
      <c r="NV368" s="67"/>
      <c r="NW368" s="67"/>
      <c r="NY368" s="357"/>
      <c r="NZ368" s="67"/>
      <c r="OA368" s="67"/>
      <c r="OC368" s="357"/>
      <c r="OD368" s="67"/>
      <c r="OE368" s="67"/>
      <c r="OG368" s="357"/>
      <c r="OH368" s="67"/>
      <c r="OI368" s="67"/>
      <c r="OK368" s="357"/>
      <c r="OL368" s="67"/>
      <c r="OM368" s="67"/>
      <c r="OO368" s="357"/>
      <c r="OP368" s="67"/>
      <c r="OQ368" s="67"/>
      <c r="OS368" s="357"/>
      <c r="OT368" s="67"/>
      <c r="OU368" s="67"/>
      <c r="OW368" s="357"/>
      <c r="OX368" s="67"/>
      <c r="OY368" s="67"/>
      <c r="PA368" s="357"/>
      <c r="PB368" s="67"/>
      <c r="PC368" s="67"/>
      <c r="PE368" s="357"/>
      <c r="PF368" s="67"/>
      <c r="PG368" s="67"/>
      <c r="PI368" s="357"/>
      <c r="PJ368" s="67"/>
      <c r="PK368" s="67"/>
      <c r="PM368" s="357"/>
      <c r="PN368" s="67"/>
      <c r="PO368" s="67"/>
      <c r="PQ368" s="357"/>
      <c r="PR368" s="67"/>
      <c r="PS368" s="67"/>
      <c r="PU368" s="357"/>
      <c r="PV368" s="67"/>
      <c r="PW368" s="67"/>
      <c r="PY368" s="357"/>
      <c r="PZ368" s="67"/>
      <c r="QA368" s="67"/>
      <c r="QC368" s="357"/>
      <c r="QD368" s="67"/>
      <c r="QE368" s="67"/>
      <c r="QG368" s="357"/>
      <c r="QH368" s="67"/>
      <c r="QI368" s="67"/>
      <c r="QK368" s="357"/>
      <c r="QL368" s="67"/>
      <c r="QM368" s="67"/>
      <c r="QO368" s="357"/>
      <c r="QP368" s="67"/>
      <c r="QQ368" s="67"/>
      <c r="QS368" s="357"/>
      <c r="QT368" s="67"/>
      <c r="QU368" s="67"/>
      <c r="QW368" s="357"/>
      <c r="QX368" s="67"/>
      <c r="QY368" s="67"/>
      <c r="RA368" s="357"/>
      <c r="RB368" s="67"/>
      <c r="RC368" s="67"/>
      <c r="RE368" s="357"/>
      <c r="RF368" s="67"/>
      <c r="RG368" s="67"/>
      <c r="RI368" s="357"/>
      <c r="RJ368" s="67"/>
      <c r="RK368" s="67"/>
      <c r="RM368" s="357"/>
      <c r="RN368" s="67"/>
      <c r="RO368" s="67"/>
      <c r="RQ368" s="357"/>
      <c r="RR368" s="67"/>
      <c r="RS368" s="67"/>
      <c r="RU368" s="357"/>
      <c r="RV368" s="67"/>
      <c r="RW368" s="67"/>
      <c r="RY368" s="357"/>
      <c r="RZ368" s="67"/>
      <c r="SA368" s="67"/>
      <c r="SC368" s="357"/>
      <c r="SD368" s="67"/>
      <c r="SE368" s="67"/>
      <c r="SG368" s="357"/>
      <c r="SH368" s="67"/>
      <c r="SI368" s="67"/>
      <c r="SK368" s="357"/>
      <c r="SL368" s="67"/>
      <c r="SM368" s="67"/>
      <c r="SO368" s="357"/>
      <c r="SP368" s="67"/>
      <c r="SQ368" s="67"/>
      <c r="SS368" s="357"/>
      <c r="ST368" s="67"/>
      <c r="SU368" s="67"/>
      <c r="SW368" s="357"/>
      <c r="SX368" s="67"/>
      <c r="SY368" s="67"/>
      <c r="TA368" s="357"/>
      <c r="TB368" s="67"/>
      <c r="TC368" s="67"/>
      <c r="TE368" s="357"/>
      <c r="TF368" s="67"/>
      <c r="TG368" s="67"/>
      <c r="TI368" s="357"/>
      <c r="TJ368" s="67"/>
      <c r="TK368" s="67"/>
      <c r="TM368" s="357"/>
      <c r="TN368" s="67"/>
      <c r="TO368" s="67"/>
      <c r="TQ368" s="357"/>
      <c r="TR368" s="67"/>
      <c r="TS368" s="67"/>
      <c r="TU368" s="357"/>
      <c r="TV368" s="67"/>
      <c r="TW368" s="67"/>
      <c r="TY368" s="357"/>
      <c r="TZ368" s="67"/>
      <c r="UA368" s="67"/>
      <c r="UC368" s="357"/>
      <c r="UD368" s="67"/>
      <c r="UE368" s="67"/>
      <c r="UG368" s="357"/>
      <c r="UH368" s="67"/>
      <c r="UI368" s="67"/>
      <c r="UK368" s="357"/>
      <c r="UL368" s="67"/>
      <c r="UM368" s="67"/>
      <c r="UO368" s="357"/>
      <c r="UP368" s="67"/>
      <c r="UQ368" s="67"/>
      <c r="US368" s="357"/>
      <c r="UT368" s="67"/>
      <c r="UU368" s="67"/>
      <c r="UW368" s="357"/>
      <c r="UX368" s="67"/>
      <c r="UY368" s="67"/>
      <c r="VA368" s="357"/>
      <c r="VB368" s="67"/>
      <c r="VC368" s="67"/>
      <c r="VE368" s="357"/>
      <c r="VF368" s="67"/>
      <c r="VG368" s="67"/>
      <c r="VI368" s="357"/>
      <c r="VJ368" s="67"/>
      <c r="VK368" s="67"/>
      <c r="VM368" s="357"/>
      <c r="VN368" s="67"/>
      <c r="VO368" s="67"/>
      <c r="VQ368" s="357"/>
      <c r="VR368" s="67"/>
      <c r="VS368" s="67"/>
      <c r="VU368" s="357"/>
      <c r="VV368" s="67"/>
      <c r="VW368" s="67"/>
      <c r="VY368" s="357"/>
      <c r="VZ368" s="67"/>
      <c r="WA368" s="67"/>
      <c r="WC368" s="357"/>
      <c r="WD368" s="67"/>
      <c r="WE368" s="67"/>
      <c r="WG368" s="357"/>
      <c r="WH368" s="67"/>
      <c r="WI368" s="67"/>
      <c r="WK368" s="357"/>
      <c r="WL368" s="67"/>
      <c r="WM368" s="67"/>
      <c r="WO368" s="357"/>
      <c r="WP368" s="67"/>
      <c r="WQ368" s="67"/>
      <c r="WS368" s="357"/>
      <c r="WT368" s="67"/>
      <c r="WU368" s="67"/>
      <c r="WW368" s="357"/>
      <c r="WX368" s="67"/>
      <c r="WY368" s="67"/>
      <c r="XA368" s="357"/>
      <c r="XB368" s="67"/>
      <c r="XC368" s="67"/>
      <c r="XE368" s="357"/>
      <c r="XF368" s="67"/>
      <c r="XG368" s="67"/>
      <c r="XI368" s="357"/>
      <c r="XJ368" s="67"/>
      <c r="XK368" s="67"/>
      <c r="XM368" s="357"/>
      <c r="XN368" s="67"/>
      <c r="XO368" s="67"/>
      <c r="XQ368" s="357"/>
      <c r="XR368" s="67"/>
      <c r="XS368" s="67"/>
      <c r="XU368" s="357"/>
      <c r="XV368" s="67"/>
      <c r="XW368" s="67"/>
      <c r="XY368" s="357"/>
      <c r="XZ368" s="67"/>
      <c r="YA368" s="67"/>
      <c r="YC368" s="357"/>
      <c r="YD368" s="67"/>
      <c r="YE368" s="67"/>
      <c r="YG368" s="357"/>
      <c r="YH368" s="67"/>
      <c r="YI368" s="67"/>
      <c r="YK368" s="357"/>
      <c r="YL368" s="67"/>
      <c r="YM368" s="67"/>
      <c r="YO368" s="357"/>
      <c r="YP368" s="67"/>
      <c r="YQ368" s="67"/>
      <c r="YS368" s="357"/>
      <c r="YT368" s="67"/>
      <c r="YU368" s="67"/>
      <c r="YW368" s="357"/>
      <c r="YX368" s="67"/>
      <c r="YY368" s="67"/>
      <c r="ZA368" s="357"/>
      <c r="ZB368" s="67"/>
      <c r="ZC368" s="67"/>
      <c r="ZE368" s="357"/>
      <c r="ZF368" s="67"/>
      <c r="ZG368" s="67"/>
      <c r="ZI368" s="357"/>
      <c r="ZJ368" s="67"/>
      <c r="ZK368" s="67"/>
      <c r="ZM368" s="357"/>
      <c r="ZN368" s="67"/>
      <c r="ZO368" s="67"/>
      <c r="ZQ368" s="357"/>
      <c r="ZR368" s="67"/>
      <c r="ZS368" s="67"/>
      <c r="ZU368" s="357"/>
      <c r="ZV368" s="67"/>
      <c r="ZW368" s="67"/>
      <c r="ZY368" s="357"/>
      <c r="ZZ368" s="67"/>
      <c r="AAA368" s="67"/>
      <c r="AAC368" s="357"/>
      <c r="AAD368" s="67"/>
      <c r="AAE368" s="67"/>
      <c r="AAG368" s="357"/>
      <c r="AAH368" s="67"/>
      <c r="AAI368" s="67"/>
      <c r="AAK368" s="357"/>
      <c r="AAL368" s="67"/>
      <c r="AAM368" s="67"/>
      <c r="AAO368" s="357"/>
      <c r="AAP368" s="67"/>
      <c r="AAQ368" s="67"/>
      <c r="AAS368" s="357"/>
      <c r="AAT368" s="67"/>
      <c r="AAU368" s="67"/>
      <c r="AAW368" s="357"/>
      <c r="AAX368" s="67"/>
      <c r="AAY368" s="67"/>
      <c r="ABA368" s="357"/>
      <c r="ABB368" s="67"/>
      <c r="ABC368" s="67"/>
      <c r="ABE368" s="357"/>
      <c r="ABF368" s="67"/>
      <c r="ABG368" s="67"/>
      <c r="ABI368" s="357"/>
      <c r="ABJ368" s="67"/>
      <c r="ABK368" s="67"/>
      <c r="ABM368" s="357"/>
      <c r="ABN368" s="67"/>
      <c r="ABO368" s="67"/>
      <c r="ABQ368" s="357"/>
      <c r="ABR368" s="67"/>
      <c r="ABS368" s="67"/>
      <c r="ABU368" s="357"/>
      <c r="ABV368" s="67"/>
      <c r="ABW368" s="67"/>
      <c r="ABY368" s="357"/>
      <c r="ABZ368" s="67"/>
      <c r="ACA368" s="67"/>
      <c r="ACC368" s="357"/>
      <c r="ACD368" s="67"/>
      <c r="ACE368" s="67"/>
      <c r="ACG368" s="357"/>
      <c r="ACH368" s="67"/>
      <c r="ACI368" s="67"/>
      <c r="ACK368" s="357"/>
      <c r="ACL368" s="67"/>
      <c r="ACM368" s="67"/>
      <c r="ACO368" s="357"/>
      <c r="ACP368" s="67"/>
      <c r="ACQ368" s="67"/>
      <c r="ACS368" s="357"/>
      <c r="ACT368" s="67"/>
      <c r="ACU368" s="67"/>
      <c r="ACW368" s="357"/>
      <c r="ACX368" s="67"/>
      <c r="ACY368" s="67"/>
      <c r="ADA368" s="357"/>
      <c r="ADB368" s="67"/>
      <c r="ADC368" s="67"/>
      <c r="ADE368" s="357"/>
      <c r="ADF368" s="67"/>
      <c r="ADG368" s="67"/>
      <c r="ADI368" s="357"/>
      <c r="ADJ368" s="67"/>
      <c r="ADK368" s="67"/>
      <c r="ADM368" s="357"/>
      <c r="ADN368" s="67"/>
      <c r="ADO368" s="67"/>
      <c r="ADQ368" s="357"/>
      <c r="ADR368" s="67"/>
      <c r="ADS368" s="67"/>
      <c r="ADU368" s="357"/>
      <c r="ADV368" s="67"/>
      <c r="ADW368" s="67"/>
      <c r="ADY368" s="357"/>
      <c r="ADZ368" s="67"/>
      <c r="AEA368" s="67"/>
      <c r="AEC368" s="357"/>
      <c r="AED368" s="67"/>
      <c r="AEE368" s="67"/>
      <c r="AEG368" s="357"/>
      <c r="AEH368" s="67"/>
      <c r="AEI368" s="67"/>
      <c r="AEK368" s="357"/>
      <c r="AEL368" s="67"/>
      <c r="AEM368" s="67"/>
      <c r="AEO368" s="357"/>
      <c r="AEP368" s="67"/>
      <c r="AEQ368" s="67"/>
      <c r="AES368" s="357"/>
      <c r="AET368" s="67"/>
      <c r="AEU368" s="67"/>
      <c r="AEW368" s="357"/>
      <c r="AEX368" s="67"/>
      <c r="AEY368" s="67"/>
      <c r="AFA368" s="357"/>
      <c r="AFB368" s="67"/>
      <c r="AFC368" s="67"/>
      <c r="AFE368" s="357"/>
      <c r="AFF368" s="67"/>
      <c r="AFG368" s="67"/>
      <c r="AFI368" s="357"/>
      <c r="AFJ368" s="67"/>
      <c r="AFK368" s="67"/>
      <c r="AFM368" s="357"/>
      <c r="AFN368" s="67"/>
      <c r="AFO368" s="67"/>
      <c r="AFQ368" s="357"/>
      <c r="AFR368" s="67"/>
      <c r="AFS368" s="67"/>
      <c r="AFU368" s="357"/>
      <c r="AFV368" s="67"/>
      <c r="AFW368" s="67"/>
      <c r="AFY368" s="357"/>
      <c r="AFZ368" s="67"/>
      <c r="AGA368" s="67"/>
      <c r="AGC368" s="357"/>
      <c r="AGD368" s="67"/>
      <c r="AGE368" s="67"/>
      <c r="AGG368" s="357"/>
      <c r="AGH368" s="67"/>
      <c r="AGI368" s="67"/>
      <c r="AGK368" s="357"/>
      <c r="AGL368" s="67"/>
      <c r="AGM368" s="67"/>
      <c r="AGO368" s="357"/>
      <c r="AGP368" s="67"/>
      <c r="AGQ368" s="67"/>
      <c r="AGS368" s="357"/>
      <c r="AGT368" s="67"/>
      <c r="AGU368" s="67"/>
      <c r="AGW368" s="357"/>
      <c r="AGX368" s="67"/>
      <c r="AGY368" s="67"/>
      <c r="AHA368" s="357"/>
      <c r="AHB368" s="67"/>
      <c r="AHC368" s="67"/>
      <c r="AHE368" s="357"/>
      <c r="AHF368" s="67"/>
      <c r="AHG368" s="67"/>
      <c r="AHI368" s="357"/>
      <c r="AHJ368" s="67"/>
      <c r="AHK368" s="67"/>
      <c r="AHM368" s="357"/>
      <c r="AHN368" s="67"/>
      <c r="AHO368" s="67"/>
      <c r="AHQ368" s="357"/>
      <c r="AHR368" s="67"/>
      <c r="AHS368" s="67"/>
      <c r="AHU368" s="357"/>
      <c r="AHV368" s="67"/>
      <c r="AHW368" s="67"/>
      <c r="AHY368" s="357"/>
      <c r="AHZ368" s="67"/>
      <c r="AIA368" s="67"/>
      <c r="AIC368" s="357"/>
      <c r="AID368" s="67"/>
      <c r="AIE368" s="67"/>
      <c r="AIG368" s="357"/>
      <c r="AIH368" s="67"/>
      <c r="AII368" s="67"/>
      <c r="AIK368" s="357"/>
      <c r="AIL368" s="67"/>
      <c r="AIM368" s="67"/>
      <c r="AIO368" s="357"/>
      <c r="AIP368" s="67"/>
      <c r="AIQ368" s="67"/>
      <c r="AIS368" s="357"/>
      <c r="AIT368" s="67"/>
      <c r="AIU368" s="67"/>
      <c r="AIW368" s="357"/>
      <c r="AIX368" s="67"/>
      <c r="AIY368" s="67"/>
      <c r="AJA368" s="357"/>
      <c r="AJB368" s="67"/>
      <c r="AJC368" s="67"/>
      <c r="AJE368" s="357"/>
      <c r="AJF368" s="67"/>
      <c r="AJG368" s="67"/>
      <c r="AJI368" s="357"/>
      <c r="AJJ368" s="67"/>
      <c r="AJK368" s="67"/>
      <c r="AJM368" s="357"/>
      <c r="AJN368" s="67"/>
      <c r="AJO368" s="67"/>
      <c r="AJQ368" s="357"/>
      <c r="AJR368" s="67"/>
      <c r="AJS368" s="67"/>
      <c r="AJU368" s="357"/>
      <c r="AJV368" s="67"/>
      <c r="AJW368" s="67"/>
      <c r="AJY368" s="357"/>
      <c r="AJZ368" s="67"/>
      <c r="AKA368" s="67"/>
      <c r="AKC368" s="357"/>
      <c r="AKD368" s="67"/>
      <c r="AKE368" s="67"/>
      <c r="AKG368" s="357"/>
      <c r="AKH368" s="67"/>
      <c r="AKI368" s="67"/>
      <c r="AKK368" s="357"/>
      <c r="AKL368" s="67"/>
      <c r="AKM368" s="67"/>
      <c r="AKO368" s="357"/>
      <c r="AKP368" s="67"/>
      <c r="AKQ368" s="67"/>
      <c r="AKS368" s="357"/>
      <c r="AKT368" s="67"/>
      <c r="AKU368" s="67"/>
      <c r="AKW368" s="357"/>
      <c r="AKX368" s="67"/>
      <c r="AKY368" s="67"/>
      <c r="ALA368" s="357"/>
      <c r="ALB368" s="67"/>
      <c r="ALC368" s="67"/>
      <c r="ALE368" s="357"/>
      <c r="ALF368" s="67"/>
      <c r="ALG368" s="67"/>
      <c r="ALI368" s="357"/>
      <c r="ALJ368" s="67"/>
      <c r="ALK368" s="67"/>
      <c r="ALM368" s="357"/>
      <c r="ALN368" s="67"/>
      <c r="ALO368" s="67"/>
      <c r="ALQ368" s="357"/>
      <c r="ALR368" s="67"/>
      <c r="ALS368" s="67"/>
      <c r="ALU368" s="357"/>
      <c r="ALV368" s="67"/>
      <c r="ALW368" s="67"/>
      <c r="ALY368" s="357"/>
      <c r="ALZ368" s="67"/>
      <c r="AMA368" s="67"/>
      <c r="AMC368" s="357"/>
      <c r="AMD368" s="67"/>
      <c r="AME368" s="67"/>
      <c r="AMG368" s="357"/>
      <c r="AMH368" s="67"/>
      <c r="AMI368" s="67"/>
      <c r="AMK368" s="357"/>
      <c r="AML368" s="67"/>
      <c r="AMM368" s="67"/>
      <c r="AMO368" s="357"/>
      <c r="AMP368" s="67"/>
      <c r="AMQ368" s="67"/>
      <c r="AMS368" s="357"/>
      <c r="AMT368" s="67"/>
      <c r="AMU368" s="67"/>
      <c r="AMW368" s="357"/>
      <c r="AMX368" s="67"/>
      <c r="AMY368" s="67"/>
      <c r="ANA368" s="357"/>
      <c r="ANB368" s="67"/>
      <c r="ANC368" s="67"/>
      <c r="ANE368" s="357"/>
      <c r="ANF368" s="67"/>
      <c r="ANG368" s="67"/>
      <c r="ANI368" s="357"/>
      <c r="ANJ368" s="67"/>
      <c r="ANK368" s="67"/>
      <c r="ANM368" s="357"/>
      <c r="ANN368" s="67"/>
      <c r="ANO368" s="67"/>
      <c r="ANQ368" s="357"/>
      <c r="ANR368" s="67"/>
      <c r="ANS368" s="67"/>
      <c r="ANU368" s="357"/>
      <c r="ANV368" s="67"/>
      <c r="ANW368" s="67"/>
      <c r="ANY368" s="357"/>
      <c r="ANZ368" s="67"/>
      <c r="AOA368" s="67"/>
      <c r="AOC368" s="357"/>
      <c r="AOD368" s="67"/>
      <c r="AOE368" s="67"/>
      <c r="AOG368" s="357"/>
      <c r="AOH368" s="67"/>
      <c r="AOI368" s="67"/>
      <c r="AOK368" s="357"/>
      <c r="AOL368" s="67"/>
      <c r="AOM368" s="67"/>
      <c r="AOO368" s="357"/>
      <c r="AOP368" s="67"/>
      <c r="AOQ368" s="67"/>
      <c r="AOS368" s="357"/>
      <c r="AOT368" s="67"/>
      <c r="AOU368" s="67"/>
      <c r="AOW368" s="357"/>
      <c r="AOX368" s="67"/>
      <c r="AOY368" s="67"/>
      <c r="APA368" s="357"/>
      <c r="APB368" s="67"/>
      <c r="APC368" s="67"/>
      <c r="APE368" s="357"/>
      <c r="APF368" s="67"/>
      <c r="APG368" s="67"/>
      <c r="API368" s="357"/>
      <c r="APJ368" s="67"/>
      <c r="APK368" s="67"/>
      <c r="APM368" s="357"/>
      <c r="APN368" s="67"/>
      <c r="APO368" s="67"/>
      <c r="APQ368" s="357"/>
      <c r="APR368" s="67"/>
      <c r="APS368" s="67"/>
      <c r="APU368" s="357"/>
      <c r="APV368" s="67"/>
      <c r="APW368" s="67"/>
      <c r="APY368" s="357"/>
      <c r="APZ368" s="67"/>
      <c r="AQA368" s="67"/>
      <c r="AQC368" s="357"/>
      <c r="AQD368" s="67"/>
      <c r="AQE368" s="67"/>
      <c r="AQG368" s="357"/>
      <c r="AQH368" s="67"/>
      <c r="AQI368" s="67"/>
      <c r="AQK368" s="357"/>
      <c r="AQL368" s="67"/>
      <c r="AQM368" s="67"/>
      <c r="AQO368" s="357"/>
      <c r="AQP368" s="67"/>
      <c r="AQQ368" s="67"/>
      <c r="AQS368" s="357"/>
      <c r="AQT368" s="67"/>
      <c r="AQU368" s="67"/>
      <c r="AQW368" s="357"/>
      <c r="AQX368" s="67"/>
      <c r="AQY368" s="67"/>
      <c r="ARA368" s="357"/>
      <c r="ARB368" s="67"/>
      <c r="ARC368" s="67"/>
      <c r="ARE368" s="357"/>
      <c r="ARF368" s="67"/>
      <c r="ARG368" s="67"/>
      <c r="ARI368" s="357"/>
      <c r="ARJ368" s="67"/>
      <c r="ARK368" s="67"/>
      <c r="ARM368" s="357"/>
      <c r="ARN368" s="67"/>
      <c r="ARO368" s="67"/>
      <c r="ARQ368" s="357"/>
      <c r="ARR368" s="67"/>
      <c r="ARS368" s="67"/>
      <c r="ARU368" s="357"/>
      <c r="ARV368" s="67"/>
      <c r="ARW368" s="67"/>
      <c r="ARY368" s="357"/>
      <c r="ARZ368" s="67"/>
      <c r="ASA368" s="67"/>
      <c r="ASC368" s="357"/>
      <c r="ASD368" s="67"/>
      <c r="ASE368" s="67"/>
      <c r="ASG368" s="357"/>
      <c r="ASH368" s="67"/>
      <c r="ASI368" s="67"/>
      <c r="ASK368" s="357"/>
      <c r="ASL368" s="67"/>
      <c r="ASM368" s="67"/>
      <c r="ASO368" s="357"/>
      <c r="ASP368" s="67"/>
      <c r="ASQ368" s="67"/>
      <c r="ASS368" s="357"/>
      <c r="AST368" s="67"/>
      <c r="ASU368" s="67"/>
      <c r="ASW368" s="357"/>
      <c r="ASX368" s="67"/>
      <c r="ASY368" s="67"/>
      <c r="ATA368" s="357"/>
      <c r="ATB368" s="67"/>
      <c r="ATC368" s="67"/>
      <c r="ATE368" s="357"/>
      <c r="ATF368" s="67"/>
      <c r="ATG368" s="67"/>
      <c r="ATI368" s="357"/>
      <c r="ATJ368" s="67"/>
      <c r="ATK368" s="67"/>
      <c r="ATM368" s="357"/>
      <c r="ATN368" s="67"/>
      <c r="ATO368" s="67"/>
      <c r="ATQ368" s="357"/>
      <c r="ATR368" s="67"/>
      <c r="ATS368" s="67"/>
      <c r="ATU368" s="357"/>
      <c r="ATV368" s="67"/>
      <c r="ATW368" s="67"/>
      <c r="ATY368" s="357"/>
      <c r="ATZ368" s="67"/>
      <c r="AUA368" s="67"/>
      <c r="AUC368" s="357"/>
      <c r="AUD368" s="67"/>
      <c r="AUE368" s="67"/>
      <c r="AUG368" s="357"/>
      <c r="AUH368" s="67"/>
      <c r="AUI368" s="67"/>
      <c r="AUK368" s="357"/>
      <c r="AUL368" s="67"/>
      <c r="AUM368" s="67"/>
      <c r="AUO368" s="357"/>
      <c r="AUP368" s="67"/>
      <c r="AUQ368" s="67"/>
      <c r="AUS368" s="357"/>
      <c r="AUT368" s="67"/>
      <c r="AUU368" s="67"/>
      <c r="AUW368" s="357"/>
      <c r="AUX368" s="67"/>
      <c r="AUY368" s="67"/>
      <c r="AVA368" s="357"/>
      <c r="AVB368" s="67"/>
      <c r="AVC368" s="67"/>
      <c r="AVE368" s="357"/>
      <c r="AVF368" s="67"/>
      <c r="AVG368" s="67"/>
      <c r="AVI368" s="357"/>
      <c r="AVJ368" s="67"/>
      <c r="AVK368" s="67"/>
      <c r="AVM368" s="357"/>
      <c r="AVN368" s="67"/>
      <c r="AVO368" s="67"/>
      <c r="AVQ368" s="357"/>
      <c r="AVR368" s="67"/>
      <c r="AVS368" s="67"/>
      <c r="AVU368" s="357"/>
      <c r="AVV368" s="67"/>
      <c r="AVW368" s="67"/>
      <c r="AVY368" s="357"/>
      <c r="AVZ368" s="67"/>
      <c r="AWA368" s="67"/>
      <c r="AWC368" s="357"/>
      <c r="AWD368" s="67"/>
      <c r="AWE368" s="67"/>
      <c r="AWG368" s="357"/>
      <c r="AWH368" s="67"/>
      <c r="AWI368" s="67"/>
      <c r="AWK368" s="357"/>
      <c r="AWL368" s="67"/>
      <c r="AWM368" s="67"/>
      <c r="AWO368" s="357"/>
      <c r="AWP368" s="67"/>
      <c r="AWQ368" s="67"/>
      <c r="AWS368" s="357"/>
      <c r="AWT368" s="67"/>
      <c r="AWU368" s="67"/>
      <c r="AWW368" s="357"/>
      <c r="AWX368" s="67"/>
      <c r="AWY368" s="67"/>
      <c r="AXA368" s="357"/>
      <c r="AXB368" s="67"/>
      <c r="AXC368" s="67"/>
      <c r="AXE368" s="357"/>
      <c r="AXF368" s="67"/>
      <c r="AXG368" s="67"/>
      <c r="AXI368" s="357"/>
      <c r="AXJ368" s="67"/>
      <c r="AXK368" s="67"/>
      <c r="AXM368" s="357"/>
      <c r="AXN368" s="67"/>
      <c r="AXO368" s="67"/>
      <c r="AXQ368" s="357"/>
      <c r="AXR368" s="67"/>
      <c r="AXS368" s="67"/>
      <c r="AXU368" s="357"/>
      <c r="AXV368" s="67"/>
      <c r="AXW368" s="67"/>
      <c r="AXY368" s="357"/>
      <c r="AXZ368" s="67"/>
      <c r="AYA368" s="67"/>
      <c r="AYC368" s="357"/>
      <c r="AYD368" s="67"/>
      <c r="AYE368" s="67"/>
      <c r="AYG368" s="357"/>
      <c r="AYH368" s="67"/>
      <c r="AYI368" s="67"/>
      <c r="AYK368" s="357"/>
      <c r="AYL368" s="67"/>
      <c r="AYM368" s="67"/>
      <c r="AYO368" s="357"/>
      <c r="AYP368" s="67"/>
      <c r="AYQ368" s="67"/>
      <c r="AYS368" s="357"/>
      <c r="AYT368" s="67"/>
      <c r="AYU368" s="67"/>
      <c r="AYW368" s="357"/>
      <c r="AYX368" s="67"/>
      <c r="AYY368" s="67"/>
      <c r="AZA368" s="357"/>
      <c r="AZB368" s="67"/>
      <c r="AZC368" s="67"/>
      <c r="AZE368" s="357"/>
      <c r="AZF368" s="67"/>
      <c r="AZG368" s="67"/>
      <c r="AZI368" s="357"/>
      <c r="AZJ368" s="67"/>
      <c r="AZK368" s="67"/>
      <c r="AZM368" s="357"/>
      <c r="AZN368" s="67"/>
      <c r="AZO368" s="67"/>
      <c r="AZQ368" s="357"/>
      <c r="AZR368" s="67"/>
      <c r="AZS368" s="67"/>
      <c r="AZU368" s="357"/>
      <c r="AZV368" s="67"/>
      <c r="AZW368" s="67"/>
      <c r="AZY368" s="357"/>
      <c r="AZZ368" s="67"/>
      <c r="BAA368" s="67"/>
      <c r="BAC368" s="357"/>
      <c r="BAD368" s="67"/>
      <c r="BAE368" s="67"/>
      <c r="BAG368" s="357"/>
      <c r="BAH368" s="67"/>
      <c r="BAI368" s="67"/>
      <c r="BAK368" s="357"/>
      <c r="BAL368" s="67"/>
      <c r="BAM368" s="67"/>
      <c r="BAO368" s="357"/>
      <c r="BAP368" s="67"/>
      <c r="BAQ368" s="67"/>
      <c r="BAS368" s="357"/>
      <c r="BAT368" s="67"/>
      <c r="BAU368" s="67"/>
      <c r="BAW368" s="357"/>
      <c r="BAX368" s="67"/>
      <c r="BAY368" s="67"/>
      <c r="BBA368" s="357"/>
      <c r="BBB368" s="67"/>
      <c r="BBC368" s="67"/>
      <c r="BBE368" s="357"/>
      <c r="BBF368" s="67"/>
      <c r="BBG368" s="67"/>
      <c r="BBI368" s="357"/>
      <c r="BBJ368" s="67"/>
      <c r="BBK368" s="67"/>
      <c r="BBM368" s="357"/>
      <c r="BBN368" s="67"/>
      <c r="BBO368" s="67"/>
      <c r="BBQ368" s="357"/>
      <c r="BBR368" s="67"/>
      <c r="BBS368" s="67"/>
      <c r="BBU368" s="357"/>
      <c r="BBV368" s="67"/>
      <c r="BBW368" s="67"/>
      <c r="BBY368" s="357"/>
      <c r="BBZ368" s="67"/>
      <c r="BCA368" s="67"/>
      <c r="BCC368" s="357"/>
      <c r="BCD368" s="67"/>
      <c r="BCE368" s="67"/>
      <c r="BCG368" s="357"/>
      <c r="BCH368" s="67"/>
      <c r="BCI368" s="67"/>
      <c r="BCK368" s="357"/>
      <c r="BCL368" s="67"/>
      <c r="BCM368" s="67"/>
      <c r="BCO368" s="357"/>
      <c r="BCP368" s="67"/>
      <c r="BCQ368" s="67"/>
      <c r="BCS368" s="357"/>
      <c r="BCT368" s="67"/>
      <c r="BCU368" s="67"/>
      <c r="BCW368" s="357"/>
      <c r="BCX368" s="67"/>
      <c r="BCY368" s="67"/>
      <c r="BDA368" s="357"/>
      <c r="BDB368" s="67"/>
      <c r="BDC368" s="67"/>
      <c r="BDE368" s="357"/>
      <c r="BDF368" s="67"/>
      <c r="BDG368" s="67"/>
      <c r="BDI368" s="357"/>
      <c r="BDJ368" s="67"/>
      <c r="BDK368" s="67"/>
      <c r="BDM368" s="357"/>
      <c r="BDN368" s="67"/>
      <c r="BDO368" s="67"/>
      <c r="BDQ368" s="357"/>
      <c r="BDR368" s="67"/>
      <c r="BDS368" s="67"/>
      <c r="BDU368" s="357"/>
      <c r="BDV368" s="67"/>
      <c r="BDW368" s="67"/>
      <c r="BDY368" s="357"/>
      <c r="BDZ368" s="67"/>
      <c r="BEA368" s="67"/>
      <c r="BEC368" s="357"/>
      <c r="BED368" s="67"/>
      <c r="BEE368" s="67"/>
      <c r="BEG368" s="357"/>
      <c r="BEH368" s="67"/>
      <c r="BEI368" s="67"/>
      <c r="BEK368" s="357"/>
      <c r="BEL368" s="67"/>
      <c r="BEM368" s="67"/>
      <c r="BEO368" s="357"/>
      <c r="BEP368" s="67"/>
      <c r="BEQ368" s="67"/>
      <c r="BES368" s="357"/>
      <c r="BET368" s="67"/>
      <c r="BEU368" s="67"/>
      <c r="BEW368" s="357"/>
      <c r="BEX368" s="67"/>
      <c r="BEY368" s="67"/>
      <c r="BFA368" s="357"/>
      <c r="BFB368" s="67"/>
      <c r="BFC368" s="67"/>
      <c r="BFE368" s="357"/>
      <c r="BFF368" s="67"/>
      <c r="BFG368" s="67"/>
      <c r="BFI368" s="357"/>
      <c r="BFJ368" s="67"/>
      <c r="BFK368" s="67"/>
      <c r="BFM368" s="357"/>
      <c r="BFN368" s="67"/>
      <c r="BFO368" s="67"/>
      <c r="BFQ368" s="357"/>
      <c r="BFR368" s="67"/>
      <c r="BFS368" s="67"/>
      <c r="BFU368" s="357"/>
      <c r="BFV368" s="67"/>
      <c r="BFW368" s="67"/>
      <c r="BFY368" s="357"/>
      <c r="BFZ368" s="67"/>
      <c r="BGA368" s="67"/>
      <c r="BGC368" s="357"/>
      <c r="BGD368" s="67"/>
      <c r="BGE368" s="67"/>
      <c r="BGG368" s="357"/>
      <c r="BGH368" s="67"/>
      <c r="BGI368" s="67"/>
      <c r="BGK368" s="357"/>
      <c r="BGL368" s="67"/>
      <c r="BGM368" s="67"/>
      <c r="BGO368" s="357"/>
      <c r="BGP368" s="67"/>
      <c r="BGQ368" s="67"/>
      <c r="BGS368" s="357"/>
      <c r="BGT368" s="67"/>
      <c r="BGU368" s="67"/>
      <c r="BGW368" s="357"/>
      <c r="BGX368" s="67"/>
      <c r="BGY368" s="67"/>
      <c r="BHA368" s="357"/>
      <c r="BHB368" s="67"/>
      <c r="BHC368" s="67"/>
      <c r="BHE368" s="357"/>
      <c r="BHF368" s="67"/>
      <c r="BHG368" s="67"/>
      <c r="BHI368" s="357"/>
      <c r="BHJ368" s="67"/>
      <c r="BHK368" s="67"/>
      <c r="BHM368" s="357"/>
      <c r="BHN368" s="67"/>
      <c r="BHO368" s="67"/>
      <c r="BHQ368" s="357"/>
      <c r="BHR368" s="67"/>
      <c r="BHS368" s="67"/>
      <c r="BHU368" s="357"/>
      <c r="BHV368" s="67"/>
      <c r="BHW368" s="67"/>
      <c r="BHY368" s="357"/>
      <c r="BHZ368" s="67"/>
      <c r="BIA368" s="67"/>
      <c r="BIC368" s="357"/>
      <c r="BID368" s="67"/>
      <c r="BIE368" s="67"/>
      <c r="BIG368" s="357"/>
      <c r="BIH368" s="67"/>
      <c r="BII368" s="67"/>
      <c r="BIK368" s="357"/>
      <c r="BIL368" s="67"/>
      <c r="BIM368" s="67"/>
      <c r="BIO368" s="357"/>
      <c r="BIP368" s="67"/>
      <c r="BIQ368" s="67"/>
      <c r="BIS368" s="357"/>
      <c r="BIT368" s="67"/>
      <c r="BIU368" s="67"/>
      <c r="BIW368" s="357"/>
      <c r="BIX368" s="67"/>
      <c r="BIY368" s="67"/>
      <c r="BJA368" s="357"/>
      <c r="BJB368" s="67"/>
      <c r="BJC368" s="67"/>
      <c r="BJE368" s="357"/>
      <c r="BJF368" s="67"/>
      <c r="BJG368" s="67"/>
      <c r="BJI368" s="357"/>
      <c r="BJJ368" s="67"/>
      <c r="BJK368" s="67"/>
      <c r="BJM368" s="357"/>
      <c r="BJN368" s="67"/>
      <c r="BJO368" s="67"/>
      <c r="BJQ368" s="357"/>
      <c r="BJR368" s="67"/>
      <c r="BJS368" s="67"/>
      <c r="BJU368" s="357"/>
      <c r="BJV368" s="67"/>
      <c r="BJW368" s="67"/>
      <c r="BJY368" s="357"/>
      <c r="BJZ368" s="67"/>
      <c r="BKA368" s="67"/>
      <c r="BKC368" s="357"/>
      <c r="BKD368" s="67"/>
      <c r="BKE368" s="67"/>
      <c r="BKG368" s="357"/>
      <c r="BKH368" s="67"/>
      <c r="BKI368" s="67"/>
      <c r="BKK368" s="357"/>
      <c r="BKL368" s="67"/>
      <c r="BKM368" s="67"/>
      <c r="BKO368" s="357"/>
      <c r="BKP368" s="67"/>
      <c r="BKQ368" s="67"/>
      <c r="BKS368" s="357"/>
      <c r="BKT368" s="67"/>
      <c r="BKU368" s="67"/>
      <c r="BKW368" s="357"/>
      <c r="BKX368" s="67"/>
      <c r="BKY368" s="67"/>
      <c r="BLA368" s="357"/>
      <c r="BLB368" s="67"/>
      <c r="BLC368" s="67"/>
      <c r="BLE368" s="357"/>
      <c r="BLF368" s="67"/>
      <c r="BLG368" s="67"/>
      <c r="BLI368" s="357"/>
      <c r="BLJ368" s="67"/>
      <c r="BLK368" s="67"/>
      <c r="BLM368" s="357"/>
      <c r="BLN368" s="67"/>
      <c r="BLO368" s="67"/>
      <c r="BLQ368" s="357"/>
      <c r="BLR368" s="67"/>
      <c r="BLS368" s="67"/>
      <c r="BLU368" s="357"/>
      <c r="BLV368" s="67"/>
      <c r="BLW368" s="67"/>
      <c r="BLY368" s="357"/>
      <c r="BLZ368" s="67"/>
      <c r="BMA368" s="67"/>
      <c r="BMC368" s="357"/>
      <c r="BMD368" s="67"/>
      <c r="BME368" s="67"/>
      <c r="BMG368" s="357"/>
      <c r="BMH368" s="67"/>
      <c r="BMI368" s="67"/>
      <c r="BMK368" s="357"/>
      <c r="BML368" s="67"/>
      <c r="BMM368" s="67"/>
      <c r="BMO368" s="357"/>
      <c r="BMP368" s="67"/>
      <c r="BMQ368" s="67"/>
      <c r="BMS368" s="357"/>
      <c r="BMT368" s="67"/>
      <c r="BMU368" s="67"/>
      <c r="BMW368" s="357"/>
      <c r="BMX368" s="67"/>
      <c r="BMY368" s="67"/>
      <c r="BNA368" s="357"/>
      <c r="BNB368" s="67"/>
      <c r="BNC368" s="67"/>
      <c r="BNE368" s="357"/>
      <c r="BNF368" s="67"/>
      <c r="BNG368" s="67"/>
      <c r="BNI368" s="357"/>
      <c r="BNJ368" s="67"/>
      <c r="BNK368" s="67"/>
      <c r="BNM368" s="357"/>
      <c r="BNN368" s="67"/>
      <c r="BNO368" s="67"/>
      <c r="BNQ368" s="357"/>
      <c r="BNR368" s="67"/>
      <c r="BNS368" s="67"/>
      <c r="BNU368" s="357"/>
      <c r="BNV368" s="67"/>
      <c r="BNW368" s="67"/>
      <c r="BNY368" s="357"/>
      <c r="BNZ368" s="67"/>
      <c r="BOA368" s="67"/>
      <c r="BOC368" s="357"/>
      <c r="BOD368" s="67"/>
      <c r="BOE368" s="67"/>
      <c r="BOG368" s="357"/>
      <c r="BOH368" s="67"/>
      <c r="BOI368" s="67"/>
      <c r="BOK368" s="357"/>
      <c r="BOL368" s="67"/>
      <c r="BOM368" s="67"/>
      <c r="BOO368" s="357"/>
      <c r="BOP368" s="67"/>
      <c r="BOQ368" s="67"/>
      <c r="BOS368" s="357"/>
      <c r="BOT368" s="67"/>
      <c r="BOU368" s="67"/>
      <c r="BOW368" s="357"/>
      <c r="BOX368" s="67"/>
      <c r="BOY368" s="67"/>
      <c r="BPA368" s="357"/>
      <c r="BPB368" s="67"/>
      <c r="BPC368" s="67"/>
      <c r="BPE368" s="357"/>
      <c r="BPF368" s="67"/>
      <c r="BPG368" s="67"/>
      <c r="BPI368" s="357"/>
      <c r="BPJ368" s="67"/>
      <c r="BPK368" s="67"/>
      <c r="BPM368" s="357"/>
      <c r="BPN368" s="67"/>
      <c r="BPO368" s="67"/>
      <c r="BPQ368" s="357"/>
      <c r="BPR368" s="67"/>
      <c r="BPS368" s="67"/>
      <c r="BPU368" s="357"/>
      <c r="BPV368" s="67"/>
      <c r="BPW368" s="67"/>
      <c r="BPY368" s="357"/>
      <c r="BPZ368" s="67"/>
      <c r="BQA368" s="67"/>
      <c r="BQC368" s="357"/>
      <c r="BQD368" s="67"/>
      <c r="BQE368" s="67"/>
      <c r="BQG368" s="357"/>
      <c r="BQH368" s="67"/>
      <c r="BQI368" s="67"/>
      <c r="BQK368" s="357"/>
      <c r="BQL368" s="67"/>
      <c r="BQM368" s="67"/>
      <c r="BQO368" s="357"/>
      <c r="BQP368" s="67"/>
      <c r="BQQ368" s="67"/>
      <c r="BQS368" s="357"/>
      <c r="BQT368" s="67"/>
      <c r="BQU368" s="67"/>
      <c r="BQW368" s="357"/>
      <c r="BQX368" s="67"/>
      <c r="BQY368" s="67"/>
      <c r="BRA368" s="357"/>
      <c r="BRB368" s="67"/>
      <c r="BRC368" s="67"/>
      <c r="BRE368" s="357"/>
      <c r="BRF368" s="67"/>
      <c r="BRG368" s="67"/>
      <c r="BRI368" s="357"/>
      <c r="BRJ368" s="67"/>
      <c r="BRK368" s="67"/>
      <c r="BRM368" s="357"/>
      <c r="BRN368" s="67"/>
      <c r="BRO368" s="67"/>
      <c r="BRQ368" s="357"/>
      <c r="BRR368" s="67"/>
      <c r="BRS368" s="67"/>
      <c r="BRU368" s="357"/>
      <c r="BRV368" s="67"/>
      <c r="BRW368" s="67"/>
      <c r="BRY368" s="357"/>
      <c r="BRZ368" s="67"/>
      <c r="BSA368" s="67"/>
      <c r="BSC368" s="357"/>
      <c r="BSD368" s="67"/>
      <c r="BSE368" s="67"/>
      <c r="BSG368" s="357"/>
      <c r="BSH368" s="67"/>
      <c r="BSI368" s="67"/>
      <c r="BSK368" s="357"/>
      <c r="BSL368" s="67"/>
      <c r="BSM368" s="67"/>
      <c r="BSO368" s="357"/>
      <c r="BSP368" s="67"/>
      <c r="BSQ368" s="67"/>
      <c r="BSS368" s="357"/>
      <c r="BST368" s="67"/>
      <c r="BSU368" s="67"/>
      <c r="BSW368" s="357"/>
      <c r="BSX368" s="67"/>
      <c r="BSY368" s="67"/>
      <c r="BTA368" s="357"/>
      <c r="BTB368" s="67"/>
      <c r="BTC368" s="67"/>
      <c r="BTE368" s="357"/>
      <c r="BTF368" s="67"/>
      <c r="BTG368" s="67"/>
      <c r="BTI368" s="357"/>
      <c r="BTJ368" s="67"/>
      <c r="BTK368" s="67"/>
      <c r="BTM368" s="357"/>
      <c r="BTN368" s="67"/>
      <c r="BTO368" s="67"/>
      <c r="BTQ368" s="357"/>
      <c r="BTR368" s="67"/>
      <c r="BTS368" s="67"/>
      <c r="BTU368" s="357"/>
      <c r="BTV368" s="67"/>
      <c r="BTW368" s="67"/>
      <c r="BTY368" s="357"/>
      <c r="BTZ368" s="67"/>
      <c r="BUA368" s="67"/>
      <c r="BUC368" s="357"/>
      <c r="BUD368" s="67"/>
      <c r="BUE368" s="67"/>
      <c r="BUG368" s="357"/>
      <c r="BUH368" s="67"/>
      <c r="BUI368" s="67"/>
      <c r="BUK368" s="357"/>
      <c r="BUL368" s="67"/>
      <c r="BUM368" s="67"/>
      <c r="BUO368" s="357"/>
      <c r="BUP368" s="67"/>
      <c r="BUQ368" s="67"/>
      <c r="BUS368" s="357"/>
      <c r="BUT368" s="67"/>
      <c r="BUU368" s="67"/>
      <c r="BUW368" s="357"/>
      <c r="BUX368" s="67"/>
      <c r="BUY368" s="67"/>
      <c r="BVA368" s="357"/>
      <c r="BVB368" s="67"/>
      <c r="BVC368" s="67"/>
      <c r="BVE368" s="357"/>
      <c r="BVF368" s="67"/>
      <c r="BVG368" s="67"/>
      <c r="BVI368" s="357"/>
      <c r="BVJ368" s="67"/>
      <c r="BVK368" s="67"/>
      <c r="BVM368" s="357"/>
      <c r="BVN368" s="67"/>
      <c r="BVO368" s="67"/>
      <c r="BVQ368" s="357"/>
      <c r="BVR368" s="67"/>
      <c r="BVS368" s="67"/>
      <c r="BVU368" s="357"/>
      <c r="BVV368" s="67"/>
      <c r="BVW368" s="67"/>
      <c r="BVY368" s="357"/>
      <c r="BVZ368" s="67"/>
      <c r="BWA368" s="67"/>
      <c r="BWC368" s="357"/>
      <c r="BWD368" s="67"/>
      <c r="BWE368" s="67"/>
      <c r="BWG368" s="357"/>
      <c r="BWH368" s="67"/>
      <c r="BWI368" s="67"/>
      <c r="BWK368" s="357"/>
      <c r="BWL368" s="67"/>
      <c r="BWM368" s="67"/>
      <c r="BWO368" s="357"/>
      <c r="BWP368" s="67"/>
      <c r="BWQ368" s="67"/>
      <c r="BWS368" s="357"/>
      <c r="BWT368" s="67"/>
      <c r="BWU368" s="67"/>
      <c r="BWW368" s="357"/>
      <c r="BWX368" s="67"/>
      <c r="BWY368" s="67"/>
      <c r="BXA368" s="357"/>
      <c r="BXB368" s="67"/>
      <c r="BXC368" s="67"/>
      <c r="BXE368" s="357"/>
      <c r="BXF368" s="67"/>
      <c r="BXG368" s="67"/>
      <c r="BXI368" s="357"/>
      <c r="BXJ368" s="67"/>
      <c r="BXK368" s="67"/>
      <c r="BXM368" s="357"/>
      <c r="BXN368" s="67"/>
      <c r="BXO368" s="67"/>
      <c r="BXQ368" s="357"/>
      <c r="BXR368" s="67"/>
      <c r="BXS368" s="67"/>
      <c r="BXU368" s="357"/>
      <c r="BXV368" s="67"/>
      <c r="BXW368" s="67"/>
      <c r="BXY368" s="357"/>
      <c r="BXZ368" s="67"/>
      <c r="BYA368" s="67"/>
      <c r="BYC368" s="357"/>
      <c r="BYD368" s="67"/>
      <c r="BYE368" s="67"/>
      <c r="BYG368" s="357"/>
      <c r="BYH368" s="67"/>
      <c r="BYI368" s="67"/>
      <c r="BYK368" s="357"/>
      <c r="BYL368" s="67"/>
      <c r="BYM368" s="67"/>
      <c r="BYO368" s="357"/>
      <c r="BYP368" s="67"/>
      <c r="BYQ368" s="67"/>
      <c r="BYS368" s="357"/>
      <c r="BYT368" s="67"/>
      <c r="BYU368" s="67"/>
      <c r="BYW368" s="357"/>
      <c r="BYX368" s="67"/>
      <c r="BYY368" s="67"/>
      <c r="BZA368" s="357"/>
      <c r="BZB368" s="67"/>
      <c r="BZC368" s="67"/>
      <c r="BZE368" s="357"/>
      <c r="BZF368" s="67"/>
      <c r="BZG368" s="67"/>
      <c r="BZI368" s="357"/>
      <c r="BZJ368" s="67"/>
      <c r="BZK368" s="67"/>
      <c r="BZM368" s="357"/>
      <c r="BZN368" s="67"/>
      <c r="BZO368" s="67"/>
      <c r="BZQ368" s="357"/>
      <c r="BZR368" s="67"/>
      <c r="BZS368" s="67"/>
      <c r="BZU368" s="357"/>
      <c r="BZV368" s="67"/>
      <c r="BZW368" s="67"/>
      <c r="BZY368" s="357"/>
      <c r="BZZ368" s="67"/>
      <c r="CAA368" s="67"/>
      <c r="CAC368" s="357"/>
      <c r="CAD368" s="67"/>
      <c r="CAE368" s="67"/>
      <c r="CAG368" s="357"/>
      <c r="CAH368" s="67"/>
      <c r="CAI368" s="67"/>
      <c r="CAK368" s="357"/>
      <c r="CAL368" s="67"/>
      <c r="CAM368" s="67"/>
      <c r="CAO368" s="357"/>
      <c r="CAP368" s="67"/>
      <c r="CAQ368" s="67"/>
      <c r="CAS368" s="357"/>
      <c r="CAT368" s="67"/>
      <c r="CAU368" s="67"/>
      <c r="CAW368" s="357"/>
      <c r="CAX368" s="67"/>
      <c r="CAY368" s="67"/>
      <c r="CBA368" s="357"/>
      <c r="CBB368" s="67"/>
      <c r="CBC368" s="67"/>
      <c r="CBE368" s="357"/>
      <c r="CBF368" s="67"/>
      <c r="CBG368" s="67"/>
      <c r="CBI368" s="357"/>
      <c r="CBJ368" s="67"/>
      <c r="CBK368" s="67"/>
      <c r="CBM368" s="357"/>
      <c r="CBN368" s="67"/>
      <c r="CBO368" s="67"/>
      <c r="CBQ368" s="357"/>
      <c r="CBR368" s="67"/>
      <c r="CBS368" s="67"/>
      <c r="CBU368" s="357"/>
      <c r="CBV368" s="67"/>
      <c r="CBW368" s="67"/>
      <c r="CBY368" s="357"/>
      <c r="CBZ368" s="67"/>
      <c r="CCA368" s="67"/>
      <c r="CCC368" s="357"/>
      <c r="CCD368" s="67"/>
      <c r="CCE368" s="67"/>
      <c r="CCG368" s="357"/>
      <c r="CCH368" s="67"/>
      <c r="CCI368" s="67"/>
      <c r="CCK368" s="357"/>
      <c r="CCL368" s="67"/>
      <c r="CCM368" s="67"/>
      <c r="CCO368" s="357"/>
      <c r="CCP368" s="67"/>
      <c r="CCQ368" s="67"/>
      <c r="CCS368" s="357"/>
      <c r="CCT368" s="67"/>
      <c r="CCU368" s="67"/>
      <c r="CCW368" s="357"/>
      <c r="CCX368" s="67"/>
      <c r="CCY368" s="67"/>
      <c r="CDA368" s="357"/>
      <c r="CDB368" s="67"/>
      <c r="CDC368" s="67"/>
      <c r="CDE368" s="357"/>
      <c r="CDF368" s="67"/>
      <c r="CDG368" s="67"/>
      <c r="CDI368" s="357"/>
      <c r="CDJ368" s="67"/>
      <c r="CDK368" s="67"/>
      <c r="CDM368" s="357"/>
      <c r="CDN368" s="67"/>
      <c r="CDO368" s="67"/>
      <c r="CDQ368" s="357"/>
      <c r="CDR368" s="67"/>
      <c r="CDS368" s="67"/>
      <c r="CDU368" s="357"/>
      <c r="CDV368" s="67"/>
      <c r="CDW368" s="67"/>
      <c r="CDY368" s="357"/>
      <c r="CDZ368" s="67"/>
      <c r="CEA368" s="67"/>
      <c r="CEC368" s="357"/>
      <c r="CED368" s="67"/>
      <c r="CEE368" s="67"/>
      <c r="CEG368" s="357"/>
      <c r="CEH368" s="67"/>
      <c r="CEI368" s="67"/>
      <c r="CEK368" s="357"/>
      <c r="CEL368" s="67"/>
      <c r="CEM368" s="67"/>
      <c r="CEO368" s="357"/>
      <c r="CEP368" s="67"/>
      <c r="CEQ368" s="67"/>
      <c r="CES368" s="357"/>
      <c r="CET368" s="67"/>
      <c r="CEU368" s="67"/>
      <c r="CEW368" s="357"/>
      <c r="CEX368" s="67"/>
      <c r="CEY368" s="67"/>
      <c r="CFA368" s="357"/>
      <c r="CFB368" s="67"/>
      <c r="CFC368" s="67"/>
      <c r="CFE368" s="357"/>
      <c r="CFF368" s="67"/>
      <c r="CFG368" s="67"/>
      <c r="CFI368" s="357"/>
      <c r="CFJ368" s="67"/>
      <c r="CFK368" s="67"/>
      <c r="CFM368" s="357"/>
      <c r="CFN368" s="67"/>
      <c r="CFO368" s="67"/>
      <c r="CFQ368" s="357"/>
      <c r="CFR368" s="67"/>
      <c r="CFS368" s="67"/>
      <c r="CFU368" s="357"/>
      <c r="CFV368" s="67"/>
      <c r="CFW368" s="67"/>
      <c r="CFY368" s="357"/>
      <c r="CFZ368" s="67"/>
      <c r="CGA368" s="67"/>
      <c r="CGC368" s="357"/>
      <c r="CGD368" s="67"/>
      <c r="CGE368" s="67"/>
      <c r="CGG368" s="357"/>
      <c r="CGH368" s="67"/>
      <c r="CGI368" s="67"/>
      <c r="CGK368" s="357"/>
      <c r="CGL368" s="67"/>
      <c r="CGM368" s="67"/>
      <c r="CGO368" s="357"/>
      <c r="CGP368" s="67"/>
      <c r="CGQ368" s="67"/>
      <c r="CGS368" s="357"/>
      <c r="CGT368" s="67"/>
      <c r="CGU368" s="67"/>
      <c r="CGW368" s="357"/>
      <c r="CGX368" s="67"/>
      <c r="CGY368" s="67"/>
      <c r="CHA368" s="357"/>
      <c r="CHB368" s="67"/>
      <c r="CHC368" s="67"/>
      <c r="CHE368" s="357"/>
      <c r="CHF368" s="67"/>
      <c r="CHG368" s="67"/>
      <c r="CHI368" s="357"/>
      <c r="CHJ368" s="67"/>
      <c r="CHK368" s="67"/>
      <c r="CHM368" s="357"/>
      <c r="CHN368" s="67"/>
      <c r="CHO368" s="67"/>
      <c r="CHQ368" s="357"/>
      <c r="CHR368" s="67"/>
      <c r="CHS368" s="67"/>
      <c r="CHU368" s="357"/>
      <c r="CHV368" s="67"/>
      <c r="CHW368" s="67"/>
      <c r="CHY368" s="357"/>
      <c r="CHZ368" s="67"/>
      <c r="CIA368" s="67"/>
      <c r="CIC368" s="357"/>
      <c r="CID368" s="67"/>
      <c r="CIE368" s="67"/>
      <c r="CIG368" s="357"/>
      <c r="CIH368" s="67"/>
      <c r="CII368" s="67"/>
      <c r="CIK368" s="357"/>
      <c r="CIL368" s="67"/>
      <c r="CIM368" s="67"/>
      <c r="CIO368" s="357"/>
      <c r="CIP368" s="67"/>
      <c r="CIQ368" s="67"/>
      <c r="CIS368" s="357"/>
      <c r="CIT368" s="67"/>
      <c r="CIU368" s="67"/>
      <c r="CIW368" s="357"/>
      <c r="CIX368" s="67"/>
      <c r="CIY368" s="67"/>
      <c r="CJA368" s="357"/>
      <c r="CJB368" s="67"/>
      <c r="CJC368" s="67"/>
      <c r="CJE368" s="357"/>
      <c r="CJF368" s="67"/>
      <c r="CJG368" s="67"/>
      <c r="CJI368" s="357"/>
      <c r="CJJ368" s="67"/>
      <c r="CJK368" s="67"/>
      <c r="CJM368" s="357"/>
      <c r="CJN368" s="67"/>
      <c r="CJO368" s="67"/>
      <c r="CJQ368" s="357"/>
      <c r="CJR368" s="67"/>
      <c r="CJS368" s="67"/>
      <c r="CJU368" s="357"/>
      <c r="CJV368" s="67"/>
      <c r="CJW368" s="67"/>
      <c r="CJY368" s="357"/>
      <c r="CJZ368" s="67"/>
      <c r="CKA368" s="67"/>
      <c r="CKC368" s="357"/>
      <c r="CKD368" s="67"/>
      <c r="CKE368" s="67"/>
      <c r="CKG368" s="357"/>
      <c r="CKH368" s="67"/>
      <c r="CKI368" s="67"/>
      <c r="CKK368" s="357"/>
      <c r="CKL368" s="67"/>
      <c r="CKM368" s="67"/>
      <c r="CKO368" s="357"/>
      <c r="CKP368" s="67"/>
      <c r="CKQ368" s="67"/>
      <c r="CKS368" s="357"/>
      <c r="CKT368" s="67"/>
      <c r="CKU368" s="67"/>
      <c r="CKW368" s="357"/>
      <c r="CKX368" s="67"/>
      <c r="CKY368" s="67"/>
      <c r="CLA368" s="357"/>
      <c r="CLB368" s="67"/>
      <c r="CLC368" s="67"/>
      <c r="CLE368" s="357"/>
      <c r="CLF368" s="67"/>
      <c r="CLG368" s="67"/>
      <c r="CLI368" s="357"/>
      <c r="CLJ368" s="67"/>
      <c r="CLK368" s="67"/>
      <c r="CLM368" s="357"/>
      <c r="CLN368" s="67"/>
      <c r="CLO368" s="67"/>
      <c r="CLQ368" s="357"/>
      <c r="CLR368" s="67"/>
      <c r="CLS368" s="67"/>
      <c r="CLU368" s="357"/>
      <c r="CLV368" s="67"/>
      <c r="CLW368" s="67"/>
      <c r="CLY368" s="357"/>
      <c r="CLZ368" s="67"/>
      <c r="CMA368" s="67"/>
      <c r="CMC368" s="357"/>
      <c r="CMD368" s="67"/>
      <c r="CME368" s="67"/>
      <c r="CMG368" s="357"/>
      <c r="CMH368" s="67"/>
      <c r="CMI368" s="67"/>
      <c r="CMK368" s="357"/>
      <c r="CML368" s="67"/>
      <c r="CMM368" s="67"/>
      <c r="CMO368" s="357"/>
      <c r="CMP368" s="67"/>
      <c r="CMQ368" s="67"/>
      <c r="CMS368" s="357"/>
      <c r="CMT368" s="67"/>
      <c r="CMU368" s="67"/>
      <c r="CMW368" s="357"/>
      <c r="CMX368" s="67"/>
      <c r="CMY368" s="67"/>
      <c r="CNA368" s="357"/>
      <c r="CNB368" s="67"/>
      <c r="CNC368" s="67"/>
      <c r="CNE368" s="357"/>
      <c r="CNF368" s="67"/>
      <c r="CNG368" s="67"/>
      <c r="CNI368" s="357"/>
      <c r="CNJ368" s="67"/>
      <c r="CNK368" s="67"/>
      <c r="CNM368" s="357"/>
      <c r="CNN368" s="67"/>
      <c r="CNO368" s="67"/>
      <c r="CNQ368" s="357"/>
      <c r="CNR368" s="67"/>
      <c r="CNS368" s="67"/>
      <c r="CNU368" s="357"/>
      <c r="CNV368" s="67"/>
      <c r="CNW368" s="67"/>
      <c r="CNY368" s="357"/>
      <c r="CNZ368" s="67"/>
      <c r="COA368" s="67"/>
      <c r="COC368" s="357"/>
      <c r="COD368" s="67"/>
      <c r="COE368" s="67"/>
      <c r="COG368" s="357"/>
      <c r="COH368" s="67"/>
      <c r="COI368" s="67"/>
      <c r="COK368" s="357"/>
      <c r="COL368" s="67"/>
      <c r="COM368" s="67"/>
      <c r="COO368" s="357"/>
      <c r="COP368" s="67"/>
      <c r="COQ368" s="67"/>
      <c r="COS368" s="357"/>
      <c r="COT368" s="67"/>
      <c r="COU368" s="67"/>
      <c r="COW368" s="357"/>
      <c r="COX368" s="67"/>
      <c r="COY368" s="67"/>
      <c r="CPA368" s="357"/>
      <c r="CPB368" s="67"/>
      <c r="CPC368" s="67"/>
      <c r="CPE368" s="357"/>
      <c r="CPF368" s="67"/>
      <c r="CPG368" s="67"/>
      <c r="CPI368" s="357"/>
      <c r="CPJ368" s="67"/>
      <c r="CPK368" s="67"/>
      <c r="CPM368" s="357"/>
      <c r="CPN368" s="67"/>
      <c r="CPO368" s="67"/>
      <c r="CPQ368" s="357"/>
      <c r="CPR368" s="67"/>
      <c r="CPS368" s="67"/>
      <c r="CPU368" s="357"/>
      <c r="CPV368" s="67"/>
      <c r="CPW368" s="67"/>
      <c r="CPY368" s="357"/>
      <c r="CPZ368" s="67"/>
      <c r="CQA368" s="67"/>
      <c r="CQC368" s="357"/>
      <c r="CQD368" s="67"/>
      <c r="CQE368" s="67"/>
      <c r="CQG368" s="357"/>
      <c r="CQH368" s="67"/>
      <c r="CQI368" s="67"/>
      <c r="CQK368" s="357"/>
      <c r="CQL368" s="67"/>
      <c r="CQM368" s="67"/>
      <c r="CQO368" s="357"/>
      <c r="CQP368" s="67"/>
      <c r="CQQ368" s="67"/>
      <c r="CQS368" s="357"/>
      <c r="CQT368" s="67"/>
      <c r="CQU368" s="67"/>
      <c r="CQW368" s="357"/>
      <c r="CQX368" s="67"/>
      <c r="CQY368" s="67"/>
      <c r="CRA368" s="357"/>
      <c r="CRB368" s="67"/>
      <c r="CRC368" s="67"/>
      <c r="CRE368" s="357"/>
      <c r="CRF368" s="67"/>
      <c r="CRG368" s="67"/>
      <c r="CRI368" s="357"/>
      <c r="CRJ368" s="67"/>
      <c r="CRK368" s="67"/>
      <c r="CRM368" s="357"/>
      <c r="CRN368" s="67"/>
      <c r="CRO368" s="67"/>
      <c r="CRQ368" s="357"/>
      <c r="CRR368" s="67"/>
      <c r="CRS368" s="67"/>
      <c r="CRU368" s="357"/>
      <c r="CRV368" s="67"/>
      <c r="CRW368" s="67"/>
      <c r="CRY368" s="357"/>
      <c r="CRZ368" s="67"/>
      <c r="CSA368" s="67"/>
      <c r="CSC368" s="357"/>
      <c r="CSD368" s="67"/>
      <c r="CSE368" s="67"/>
      <c r="CSG368" s="357"/>
      <c r="CSH368" s="67"/>
      <c r="CSI368" s="67"/>
      <c r="CSK368" s="357"/>
      <c r="CSL368" s="67"/>
      <c r="CSM368" s="67"/>
      <c r="CSO368" s="357"/>
      <c r="CSP368" s="67"/>
      <c r="CSQ368" s="67"/>
      <c r="CSS368" s="357"/>
      <c r="CST368" s="67"/>
      <c r="CSU368" s="67"/>
      <c r="CSW368" s="357"/>
      <c r="CSX368" s="67"/>
      <c r="CSY368" s="67"/>
      <c r="CTA368" s="357"/>
      <c r="CTB368" s="67"/>
      <c r="CTC368" s="67"/>
      <c r="CTE368" s="357"/>
      <c r="CTF368" s="67"/>
      <c r="CTG368" s="67"/>
      <c r="CTI368" s="357"/>
      <c r="CTJ368" s="67"/>
      <c r="CTK368" s="67"/>
      <c r="CTM368" s="357"/>
      <c r="CTN368" s="67"/>
      <c r="CTO368" s="67"/>
      <c r="CTQ368" s="357"/>
      <c r="CTR368" s="67"/>
      <c r="CTS368" s="67"/>
      <c r="CTU368" s="357"/>
      <c r="CTV368" s="67"/>
      <c r="CTW368" s="67"/>
      <c r="CTY368" s="357"/>
      <c r="CTZ368" s="67"/>
      <c r="CUA368" s="67"/>
      <c r="CUC368" s="357"/>
      <c r="CUD368" s="67"/>
      <c r="CUE368" s="67"/>
      <c r="CUG368" s="357"/>
      <c r="CUH368" s="67"/>
      <c r="CUI368" s="67"/>
      <c r="CUK368" s="357"/>
      <c r="CUL368" s="67"/>
      <c r="CUM368" s="67"/>
      <c r="CUO368" s="357"/>
      <c r="CUP368" s="67"/>
      <c r="CUQ368" s="67"/>
      <c r="CUS368" s="357"/>
      <c r="CUT368" s="67"/>
      <c r="CUU368" s="67"/>
      <c r="CUW368" s="357"/>
      <c r="CUX368" s="67"/>
      <c r="CUY368" s="67"/>
      <c r="CVA368" s="357"/>
      <c r="CVB368" s="67"/>
      <c r="CVC368" s="67"/>
      <c r="CVE368" s="357"/>
      <c r="CVF368" s="67"/>
      <c r="CVG368" s="67"/>
      <c r="CVI368" s="357"/>
      <c r="CVJ368" s="67"/>
      <c r="CVK368" s="67"/>
      <c r="CVM368" s="357"/>
      <c r="CVN368" s="67"/>
      <c r="CVO368" s="67"/>
      <c r="CVQ368" s="357"/>
      <c r="CVR368" s="67"/>
      <c r="CVS368" s="67"/>
      <c r="CVU368" s="357"/>
      <c r="CVV368" s="67"/>
      <c r="CVW368" s="67"/>
      <c r="CVY368" s="357"/>
      <c r="CVZ368" s="67"/>
      <c r="CWA368" s="67"/>
      <c r="CWC368" s="357"/>
      <c r="CWD368" s="67"/>
      <c r="CWE368" s="67"/>
      <c r="CWG368" s="357"/>
      <c r="CWH368" s="67"/>
      <c r="CWI368" s="67"/>
      <c r="CWK368" s="357"/>
      <c r="CWL368" s="67"/>
      <c r="CWM368" s="67"/>
      <c r="CWO368" s="357"/>
      <c r="CWP368" s="67"/>
      <c r="CWQ368" s="67"/>
      <c r="CWS368" s="357"/>
      <c r="CWT368" s="67"/>
      <c r="CWU368" s="67"/>
      <c r="CWW368" s="357"/>
      <c r="CWX368" s="67"/>
      <c r="CWY368" s="67"/>
      <c r="CXA368" s="357"/>
      <c r="CXB368" s="67"/>
      <c r="CXC368" s="67"/>
      <c r="CXE368" s="357"/>
      <c r="CXF368" s="67"/>
      <c r="CXG368" s="67"/>
      <c r="CXI368" s="357"/>
      <c r="CXJ368" s="67"/>
      <c r="CXK368" s="67"/>
      <c r="CXM368" s="357"/>
      <c r="CXN368" s="67"/>
      <c r="CXO368" s="67"/>
      <c r="CXQ368" s="357"/>
      <c r="CXR368" s="67"/>
      <c r="CXS368" s="67"/>
      <c r="CXU368" s="357"/>
      <c r="CXV368" s="67"/>
      <c r="CXW368" s="67"/>
      <c r="CXY368" s="357"/>
      <c r="CXZ368" s="67"/>
      <c r="CYA368" s="67"/>
      <c r="CYC368" s="357"/>
      <c r="CYD368" s="67"/>
      <c r="CYE368" s="67"/>
      <c r="CYG368" s="357"/>
      <c r="CYH368" s="67"/>
      <c r="CYI368" s="67"/>
      <c r="CYK368" s="357"/>
      <c r="CYL368" s="67"/>
      <c r="CYM368" s="67"/>
      <c r="CYO368" s="357"/>
      <c r="CYP368" s="67"/>
      <c r="CYQ368" s="67"/>
      <c r="CYS368" s="357"/>
      <c r="CYT368" s="67"/>
      <c r="CYU368" s="67"/>
      <c r="CYW368" s="357"/>
      <c r="CYX368" s="67"/>
      <c r="CYY368" s="67"/>
      <c r="CZA368" s="357"/>
      <c r="CZB368" s="67"/>
      <c r="CZC368" s="67"/>
      <c r="CZE368" s="357"/>
      <c r="CZF368" s="67"/>
      <c r="CZG368" s="67"/>
      <c r="CZI368" s="357"/>
      <c r="CZJ368" s="67"/>
      <c r="CZK368" s="67"/>
      <c r="CZM368" s="357"/>
      <c r="CZN368" s="67"/>
      <c r="CZO368" s="67"/>
      <c r="CZQ368" s="357"/>
      <c r="CZR368" s="67"/>
      <c r="CZS368" s="67"/>
      <c r="CZU368" s="357"/>
      <c r="CZV368" s="67"/>
      <c r="CZW368" s="67"/>
      <c r="CZY368" s="357"/>
      <c r="CZZ368" s="67"/>
      <c r="DAA368" s="67"/>
      <c r="DAC368" s="357"/>
      <c r="DAD368" s="67"/>
      <c r="DAE368" s="67"/>
      <c r="DAG368" s="357"/>
      <c r="DAH368" s="67"/>
      <c r="DAI368" s="67"/>
      <c r="DAK368" s="357"/>
      <c r="DAL368" s="67"/>
      <c r="DAM368" s="67"/>
      <c r="DAO368" s="357"/>
      <c r="DAP368" s="67"/>
      <c r="DAQ368" s="67"/>
      <c r="DAS368" s="357"/>
      <c r="DAT368" s="67"/>
      <c r="DAU368" s="67"/>
      <c r="DAW368" s="357"/>
      <c r="DAX368" s="67"/>
      <c r="DAY368" s="67"/>
      <c r="DBA368" s="357"/>
      <c r="DBB368" s="67"/>
      <c r="DBC368" s="67"/>
      <c r="DBE368" s="357"/>
      <c r="DBF368" s="67"/>
      <c r="DBG368" s="67"/>
      <c r="DBI368" s="357"/>
      <c r="DBJ368" s="67"/>
      <c r="DBK368" s="67"/>
      <c r="DBM368" s="357"/>
      <c r="DBN368" s="67"/>
      <c r="DBO368" s="67"/>
      <c r="DBQ368" s="357"/>
      <c r="DBR368" s="67"/>
      <c r="DBS368" s="67"/>
      <c r="DBU368" s="357"/>
      <c r="DBV368" s="67"/>
      <c r="DBW368" s="67"/>
      <c r="DBY368" s="357"/>
      <c r="DBZ368" s="67"/>
      <c r="DCA368" s="67"/>
      <c r="DCC368" s="357"/>
      <c r="DCD368" s="67"/>
      <c r="DCE368" s="67"/>
      <c r="DCG368" s="357"/>
      <c r="DCH368" s="67"/>
      <c r="DCI368" s="67"/>
      <c r="DCK368" s="357"/>
      <c r="DCL368" s="67"/>
      <c r="DCM368" s="67"/>
      <c r="DCO368" s="357"/>
      <c r="DCP368" s="67"/>
      <c r="DCQ368" s="67"/>
      <c r="DCS368" s="357"/>
      <c r="DCT368" s="67"/>
      <c r="DCU368" s="67"/>
      <c r="DCW368" s="357"/>
      <c r="DCX368" s="67"/>
      <c r="DCY368" s="67"/>
      <c r="DDA368" s="357"/>
      <c r="DDB368" s="67"/>
      <c r="DDC368" s="67"/>
      <c r="DDE368" s="357"/>
      <c r="DDF368" s="67"/>
      <c r="DDG368" s="67"/>
      <c r="DDI368" s="357"/>
      <c r="DDJ368" s="67"/>
      <c r="DDK368" s="67"/>
      <c r="DDM368" s="357"/>
      <c r="DDN368" s="67"/>
      <c r="DDO368" s="67"/>
      <c r="DDQ368" s="357"/>
      <c r="DDR368" s="67"/>
      <c r="DDS368" s="67"/>
      <c r="DDU368" s="357"/>
      <c r="DDV368" s="67"/>
      <c r="DDW368" s="67"/>
      <c r="DDY368" s="357"/>
      <c r="DDZ368" s="67"/>
      <c r="DEA368" s="67"/>
      <c r="DEC368" s="357"/>
      <c r="DED368" s="67"/>
      <c r="DEE368" s="67"/>
      <c r="DEG368" s="357"/>
      <c r="DEH368" s="67"/>
      <c r="DEI368" s="67"/>
      <c r="DEK368" s="357"/>
      <c r="DEL368" s="67"/>
      <c r="DEM368" s="67"/>
      <c r="DEO368" s="357"/>
      <c r="DEP368" s="67"/>
      <c r="DEQ368" s="67"/>
      <c r="DES368" s="357"/>
      <c r="DET368" s="67"/>
      <c r="DEU368" s="67"/>
      <c r="DEW368" s="357"/>
      <c r="DEX368" s="67"/>
      <c r="DEY368" s="67"/>
      <c r="DFA368" s="357"/>
      <c r="DFB368" s="67"/>
      <c r="DFC368" s="67"/>
      <c r="DFE368" s="357"/>
      <c r="DFF368" s="67"/>
      <c r="DFG368" s="67"/>
      <c r="DFI368" s="357"/>
      <c r="DFJ368" s="67"/>
      <c r="DFK368" s="67"/>
      <c r="DFM368" s="357"/>
      <c r="DFN368" s="67"/>
      <c r="DFO368" s="67"/>
      <c r="DFQ368" s="357"/>
      <c r="DFR368" s="67"/>
      <c r="DFS368" s="67"/>
      <c r="DFU368" s="357"/>
      <c r="DFV368" s="67"/>
      <c r="DFW368" s="67"/>
      <c r="DFY368" s="357"/>
      <c r="DFZ368" s="67"/>
      <c r="DGA368" s="67"/>
      <c r="DGC368" s="357"/>
      <c r="DGD368" s="67"/>
      <c r="DGE368" s="67"/>
      <c r="DGG368" s="357"/>
      <c r="DGH368" s="67"/>
      <c r="DGI368" s="67"/>
      <c r="DGK368" s="357"/>
      <c r="DGL368" s="67"/>
      <c r="DGM368" s="67"/>
      <c r="DGO368" s="357"/>
      <c r="DGP368" s="67"/>
      <c r="DGQ368" s="67"/>
      <c r="DGS368" s="357"/>
      <c r="DGT368" s="67"/>
      <c r="DGU368" s="67"/>
      <c r="DGW368" s="357"/>
      <c r="DGX368" s="67"/>
      <c r="DGY368" s="67"/>
      <c r="DHA368" s="357"/>
      <c r="DHB368" s="67"/>
      <c r="DHC368" s="67"/>
      <c r="DHE368" s="357"/>
      <c r="DHF368" s="67"/>
      <c r="DHG368" s="67"/>
      <c r="DHI368" s="357"/>
      <c r="DHJ368" s="67"/>
      <c r="DHK368" s="67"/>
      <c r="DHM368" s="357"/>
      <c r="DHN368" s="67"/>
      <c r="DHO368" s="67"/>
      <c r="DHQ368" s="357"/>
      <c r="DHR368" s="67"/>
      <c r="DHS368" s="67"/>
      <c r="DHU368" s="357"/>
      <c r="DHV368" s="67"/>
      <c r="DHW368" s="67"/>
      <c r="DHY368" s="357"/>
      <c r="DHZ368" s="67"/>
      <c r="DIA368" s="67"/>
      <c r="DIC368" s="357"/>
      <c r="DID368" s="67"/>
      <c r="DIE368" s="67"/>
      <c r="DIG368" s="357"/>
      <c r="DIH368" s="67"/>
      <c r="DII368" s="67"/>
      <c r="DIK368" s="357"/>
      <c r="DIL368" s="67"/>
      <c r="DIM368" s="67"/>
      <c r="DIO368" s="357"/>
      <c r="DIP368" s="67"/>
      <c r="DIQ368" s="67"/>
      <c r="DIS368" s="357"/>
      <c r="DIT368" s="67"/>
      <c r="DIU368" s="67"/>
      <c r="DIW368" s="357"/>
      <c r="DIX368" s="67"/>
      <c r="DIY368" s="67"/>
      <c r="DJA368" s="357"/>
      <c r="DJB368" s="67"/>
      <c r="DJC368" s="67"/>
      <c r="DJE368" s="357"/>
      <c r="DJF368" s="67"/>
      <c r="DJG368" s="67"/>
      <c r="DJI368" s="357"/>
      <c r="DJJ368" s="67"/>
      <c r="DJK368" s="67"/>
      <c r="DJM368" s="357"/>
      <c r="DJN368" s="67"/>
      <c r="DJO368" s="67"/>
      <c r="DJQ368" s="357"/>
      <c r="DJR368" s="67"/>
      <c r="DJS368" s="67"/>
      <c r="DJU368" s="357"/>
      <c r="DJV368" s="67"/>
      <c r="DJW368" s="67"/>
      <c r="DJY368" s="357"/>
      <c r="DJZ368" s="67"/>
      <c r="DKA368" s="67"/>
      <c r="DKC368" s="357"/>
      <c r="DKD368" s="67"/>
      <c r="DKE368" s="67"/>
      <c r="DKG368" s="357"/>
      <c r="DKH368" s="67"/>
      <c r="DKI368" s="67"/>
      <c r="DKK368" s="357"/>
      <c r="DKL368" s="67"/>
      <c r="DKM368" s="67"/>
      <c r="DKO368" s="357"/>
      <c r="DKP368" s="67"/>
      <c r="DKQ368" s="67"/>
      <c r="DKS368" s="357"/>
      <c r="DKT368" s="67"/>
      <c r="DKU368" s="67"/>
      <c r="DKW368" s="357"/>
      <c r="DKX368" s="67"/>
      <c r="DKY368" s="67"/>
      <c r="DLA368" s="357"/>
      <c r="DLB368" s="67"/>
      <c r="DLC368" s="67"/>
      <c r="DLE368" s="357"/>
      <c r="DLF368" s="67"/>
      <c r="DLG368" s="67"/>
      <c r="DLI368" s="357"/>
      <c r="DLJ368" s="67"/>
      <c r="DLK368" s="67"/>
      <c r="DLM368" s="357"/>
      <c r="DLN368" s="67"/>
      <c r="DLO368" s="67"/>
      <c r="DLQ368" s="357"/>
      <c r="DLR368" s="67"/>
      <c r="DLS368" s="67"/>
      <c r="DLU368" s="357"/>
      <c r="DLV368" s="67"/>
      <c r="DLW368" s="67"/>
      <c r="DLY368" s="357"/>
      <c r="DLZ368" s="67"/>
      <c r="DMA368" s="67"/>
      <c r="DMC368" s="357"/>
      <c r="DMD368" s="67"/>
      <c r="DME368" s="67"/>
      <c r="DMG368" s="357"/>
      <c r="DMH368" s="67"/>
      <c r="DMI368" s="67"/>
      <c r="DMK368" s="357"/>
      <c r="DML368" s="67"/>
      <c r="DMM368" s="67"/>
      <c r="DMO368" s="357"/>
      <c r="DMP368" s="67"/>
      <c r="DMQ368" s="67"/>
      <c r="DMS368" s="357"/>
      <c r="DMT368" s="67"/>
      <c r="DMU368" s="67"/>
      <c r="DMW368" s="357"/>
      <c r="DMX368" s="67"/>
      <c r="DMY368" s="67"/>
      <c r="DNA368" s="357"/>
      <c r="DNB368" s="67"/>
      <c r="DNC368" s="67"/>
      <c r="DNE368" s="357"/>
      <c r="DNF368" s="67"/>
      <c r="DNG368" s="67"/>
      <c r="DNI368" s="357"/>
      <c r="DNJ368" s="67"/>
      <c r="DNK368" s="67"/>
      <c r="DNM368" s="357"/>
      <c r="DNN368" s="67"/>
      <c r="DNO368" s="67"/>
      <c r="DNQ368" s="357"/>
      <c r="DNR368" s="67"/>
      <c r="DNS368" s="67"/>
      <c r="DNU368" s="357"/>
      <c r="DNV368" s="67"/>
      <c r="DNW368" s="67"/>
      <c r="DNY368" s="357"/>
      <c r="DNZ368" s="67"/>
      <c r="DOA368" s="67"/>
      <c r="DOC368" s="357"/>
      <c r="DOD368" s="67"/>
      <c r="DOE368" s="67"/>
      <c r="DOG368" s="357"/>
      <c r="DOH368" s="67"/>
      <c r="DOI368" s="67"/>
      <c r="DOK368" s="357"/>
      <c r="DOL368" s="67"/>
      <c r="DOM368" s="67"/>
      <c r="DOO368" s="357"/>
      <c r="DOP368" s="67"/>
      <c r="DOQ368" s="67"/>
      <c r="DOS368" s="357"/>
      <c r="DOT368" s="67"/>
      <c r="DOU368" s="67"/>
      <c r="DOW368" s="357"/>
      <c r="DOX368" s="67"/>
      <c r="DOY368" s="67"/>
      <c r="DPA368" s="357"/>
      <c r="DPB368" s="67"/>
      <c r="DPC368" s="67"/>
      <c r="DPE368" s="357"/>
      <c r="DPF368" s="67"/>
      <c r="DPG368" s="67"/>
      <c r="DPI368" s="357"/>
      <c r="DPJ368" s="67"/>
      <c r="DPK368" s="67"/>
      <c r="DPM368" s="357"/>
      <c r="DPN368" s="67"/>
      <c r="DPO368" s="67"/>
      <c r="DPQ368" s="357"/>
      <c r="DPR368" s="67"/>
      <c r="DPS368" s="67"/>
      <c r="DPU368" s="357"/>
      <c r="DPV368" s="67"/>
      <c r="DPW368" s="67"/>
      <c r="DPY368" s="357"/>
      <c r="DPZ368" s="67"/>
      <c r="DQA368" s="67"/>
      <c r="DQC368" s="357"/>
      <c r="DQD368" s="67"/>
      <c r="DQE368" s="67"/>
      <c r="DQG368" s="357"/>
      <c r="DQH368" s="67"/>
      <c r="DQI368" s="67"/>
      <c r="DQK368" s="357"/>
      <c r="DQL368" s="67"/>
      <c r="DQM368" s="67"/>
      <c r="DQO368" s="357"/>
      <c r="DQP368" s="67"/>
      <c r="DQQ368" s="67"/>
      <c r="DQS368" s="357"/>
      <c r="DQT368" s="67"/>
      <c r="DQU368" s="67"/>
      <c r="DQW368" s="357"/>
      <c r="DQX368" s="67"/>
      <c r="DQY368" s="67"/>
      <c r="DRA368" s="357"/>
      <c r="DRB368" s="67"/>
      <c r="DRC368" s="67"/>
      <c r="DRE368" s="357"/>
      <c r="DRF368" s="67"/>
      <c r="DRG368" s="67"/>
      <c r="DRI368" s="357"/>
      <c r="DRJ368" s="67"/>
      <c r="DRK368" s="67"/>
      <c r="DRM368" s="357"/>
      <c r="DRN368" s="67"/>
      <c r="DRO368" s="67"/>
      <c r="DRQ368" s="357"/>
      <c r="DRR368" s="67"/>
      <c r="DRS368" s="67"/>
      <c r="DRU368" s="357"/>
      <c r="DRV368" s="67"/>
      <c r="DRW368" s="67"/>
      <c r="DRY368" s="357"/>
      <c r="DRZ368" s="67"/>
      <c r="DSA368" s="67"/>
      <c r="DSC368" s="357"/>
      <c r="DSD368" s="67"/>
      <c r="DSE368" s="67"/>
      <c r="DSG368" s="357"/>
      <c r="DSH368" s="67"/>
      <c r="DSI368" s="67"/>
      <c r="DSK368" s="357"/>
      <c r="DSL368" s="67"/>
      <c r="DSM368" s="67"/>
      <c r="DSO368" s="357"/>
      <c r="DSP368" s="67"/>
      <c r="DSQ368" s="67"/>
      <c r="DSS368" s="357"/>
      <c r="DST368" s="67"/>
      <c r="DSU368" s="67"/>
      <c r="DSW368" s="357"/>
      <c r="DSX368" s="67"/>
      <c r="DSY368" s="67"/>
      <c r="DTA368" s="357"/>
      <c r="DTB368" s="67"/>
      <c r="DTC368" s="67"/>
      <c r="DTE368" s="357"/>
      <c r="DTF368" s="67"/>
      <c r="DTG368" s="67"/>
      <c r="DTI368" s="357"/>
      <c r="DTJ368" s="67"/>
      <c r="DTK368" s="67"/>
      <c r="DTM368" s="357"/>
      <c r="DTN368" s="67"/>
      <c r="DTO368" s="67"/>
      <c r="DTQ368" s="357"/>
      <c r="DTR368" s="67"/>
      <c r="DTS368" s="67"/>
      <c r="DTU368" s="357"/>
      <c r="DTV368" s="67"/>
      <c r="DTW368" s="67"/>
      <c r="DTY368" s="357"/>
      <c r="DTZ368" s="67"/>
      <c r="DUA368" s="67"/>
      <c r="DUC368" s="357"/>
      <c r="DUD368" s="67"/>
      <c r="DUE368" s="67"/>
      <c r="DUG368" s="357"/>
      <c r="DUH368" s="67"/>
      <c r="DUI368" s="67"/>
      <c r="DUK368" s="357"/>
      <c r="DUL368" s="67"/>
      <c r="DUM368" s="67"/>
      <c r="DUO368" s="357"/>
      <c r="DUP368" s="67"/>
      <c r="DUQ368" s="67"/>
      <c r="DUS368" s="357"/>
      <c r="DUT368" s="67"/>
      <c r="DUU368" s="67"/>
      <c r="DUW368" s="357"/>
      <c r="DUX368" s="67"/>
      <c r="DUY368" s="67"/>
      <c r="DVA368" s="357"/>
      <c r="DVB368" s="67"/>
      <c r="DVC368" s="67"/>
      <c r="DVE368" s="357"/>
      <c r="DVF368" s="67"/>
      <c r="DVG368" s="67"/>
      <c r="DVI368" s="357"/>
      <c r="DVJ368" s="67"/>
      <c r="DVK368" s="67"/>
      <c r="DVM368" s="357"/>
      <c r="DVN368" s="67"/>
      <c r="DVO368" s="67"/>
      <c r="DVQ368" s="357"/>
      <c r="DVR368" s="67"/>
      <c r="DVS368" s="67"/>
      <c r="DVU368" s="357"/>
      <c r="DVV368" s="67"/>
      <c r="DVW368" s="67"/>
      <c r="DVY368" s="357"/>
      <c r="DVZ368" s="67"/>
      <c r="DWA368" s="67"/>
      <c r="DWC368" s="357"/>
      <c r="DWD368" s="67"/>
      <c r="DWE368" s="67"/>
      <c r="DWG368" s="357"/>
      <c r="DWH368" s="67"/>
      <c r="DWI368" s="67"/>
      <c r="DWK368" s="357"/>
      <c r="DWL368" s="67"/>
      <c r="DWM368" s="67"/>
      <c r="DWO368" s="357"/>
      <c r="DWP368" s="67"/>
      <c r="DWQ368" s="67"/>
      <c r="DWS368" s="357"/>
      <c r="DWT368" s="67"/>
      <c r="DWU368" s="67"/>
      <c r="DWW368" s="357"/>
      <c r="DWX368" s="67"/>
      <c r="DWY368" s="67"/>
      <c r="DXA368" s="357"/>
      <c r="DXB368" s="67"/>
      <c r="DXC368" s="67"/>
      <c r="DXE368" s="357"/>
      <c r="DXF368" s="67"/>
      <c r="DXG368" s="67"/>
      <c r="DXI368" s="357"/>
      <c r="DXJ368" s="67"/>
      <c r="DXK368" s="67"/>
      <c r="DXM368" s="357"/>
      <c r="DXN368" s="67"/>
      <c r="DXO368" s="67"/>
      <c r="DXQ368" s="357"/>
      <c r="DXR368" s="67"/>
      <c r="DXS368" s="67"/>
      <c r="DXU368" s="357"/>
      <c r="DXV368" s="67"/>
      <c r="DXW368" s="67"/>
      <c r="DXY368" s="357"/>
      <c r="DXZ368" s="67"/>
      <c r="DYA368" s="67"/>
      <c r="DYC368" s="357"/>
      <c r="DYD368" s="67"/>
      <c r="DYE368" s="67"/>
      <c r="DYG368" s="357"/>
      <c r="DYH368" s="67"/>
      <c r="DYI368" s="67"/>
      <c r="DYK368" s="357"/>
      <c r="DYL368" s="67"/>
      <c r="DYM368" s="67"/>
      <c r="DYO368" s="357"/>
      <c r="DYP368" s="67"/>
      <c r="DYQ368" s="67"/>
      <c r="DYS368" s="357"/>
      <c r="DYT368" s="67"/>
      <c r="DYU368" s="67"/>
      <c r="DYW368" s="357"/>
      <c r="DYX368" s="67"/>
      <c r="DYY368" s="67"/>
      <c r="DZA368" s="357"/>
      <c r="DZB368" s="67"/>
      <c r="DZC368" s="67"/>
      <c r="DZE368" s="357"/>
      <c r="DZF368" s="67"/>
      <c r="DZG368" s="67"/>
      <c r="DZI368" s="357"/>
      <c r="DZJ368" s="67"/>
      <c r="DZK368" s="67"/>
      <c r="DZM368" s="357"/>
      <c r="DZN368" s="67"/>
      <c r="DZO368" s="67"/>
      <c r="DZQ368" s="357"/>
      <c r="DZR368" s="67"/>
      <c r="DZS368" s="67"/>
      <c r="DZU368" s="357"/>
      <c r="DZV368" s="67"/>
      <c r="DZW368" s="67"/>
      <c r="DZY368" s="357"/>
      <c r="DZZ368" s="67"/>
      <c r="EAA368" s="67"/>
      <c r="EAC368" s="357"/>
      <c r="EAD368" s="67"/>
      <c r="EAE368" s="67"/>
      <c r="EAG368" s="357"/>
      <c r="EAH368" s="67"/>
      <c r="EAI368" s="67"/>
      <c r="EAK368" s="357"/>
      <c r="EAL368" s="67"/>
      <c r="EAM368" s="67"/>
      <c r="EAO368" s="357"/>
      <c r="EAP368" s="67"/>
      <c r="EAQ368" s="67"/>
      <c r="EAS368" s="357"/>
      <c r="EAT368" s="67"/>
      <c r="EAU368" s="67"/>
      <c r="EAW368" s="357"/>
      <c r="EAX368" s="67"/>
      <c r="EAY368" s="67"/>
      <c r="EBA368" s="357"/>
      <c r="EBB368" s="67"/>
      <c r="EBC368" s="67"/>
      <c r="EBE368" s="357"/>
      <c r="EBF368" s="67"/>
      <c r="EBG368" s="67"/>
      <c r="EBI368" s="357"/>
      <c r="EBJ368" s="67"/>
      <c r="EBK368" s="67"/>
      <c r="EBM368" s="357"/>
      <c r="EBN368" s="67"/>
      <c r="EBO368" s="67"/>
      <c r="EBQ368" s="357"/>
      <c r="EBR368" s="67"/>
      <c r="EBS368" s="67"/>
      <c r="EBU368" s="357"/>
      <c r="EBV368" s="67"/>
      <c r="EBW368" s="67"/>
      <c r="EBY368" s="357"/>
      <c r="EBZ368" s="67"/>
      <c r="ECA368" s="67"/>
      <c r="ECC368" s="357"/>
      <c r="ECD368" s="67"/>
      <c r="ECE368" s="67"/>
      <c r="ECG368" s="357"/>
      <c r="ECH368" s="67"/>
      <c r="ECI368" s="67"/>
      <c r="ECK368" s="357"/>
      <c r="ECL368" s="67"/>
      <c r="ECM368" s="67"/>
      <c r="ECO368" s="357"/>
      <c r="ECP368" s="67"/>
      <c r="ECQ368" s="67"/>
      <c r="ECS368" s="357"/>
      <c r="ECT368" s="67"/>
      <c r="ECU368" s="67"/>
      <c r="ECW368" s="357"/>
      <c r="ECX368" s="67"/>
      <c r="ECY368" s="67"/>
      <c r="EDA368" s="357"/>
      <c r="EDB368" s="67"/>
      <c r="EDC368" s="67"/>
      <c r="EDE368" s="357"/>
      <c r="EDF368" s="67"/>
      <c r="EDG368" s="67"/>
      <c r="EDI368" s="357"/>
      <c r="EDJ368" s="67"/>
      <c r="EDK368" s="67"/>
      <c r="EDM368" s="357"/>
      <c r="EDN368" s="67"/>
      <c r="EDO368" s="67"/>
      <c r="EDQ368" s="357"/>
      <c r="EDR368" s="67"/>
      <c r="EDS368" s="67"/>
      <c r="EDU368" s="357"/>
      <c r="EDV368" s="67"/>
      <c r="EDW368" s="67"/>
      <c r="EDY368" s="357"/>
      <c r="EDZ368" s="67"/>
      <c r="EEA368" s="67"/>
      <c r="EEC368" s="357"/>
      <c r="EED368" s="67"/>
      <c r="EEE368" s="67"/>
      <c r="EEG368" s="357"/>
      <c r="EEH368" s="67"/>
      <c r="EEI368" s="67"/>
      <c r="EEK368" s="357"/>
      <c r="EEL368" s="67"/>
      <c r="EEM368" s="67"/>
      <c r="EEO368" s="357"/>
      <c r="EEP368" s="67"/>
      <c r="EEQ368" s="67"/>
      <c r="EES368" s="357"/>
      <c r="EET368" s="67"/>
      <c r="EEU368" s="67"/>
      <c r="EEW368" s="357"/>
      <c r="EEX368" s="67"/>
      <c r="EEY368" s="67"/>
      <c r="EFA368" s="357"/>
      <c r="EFB368" s="67"/>
      <c r="EFC368" s="67"/>
      <c r="EFE368" s="357"/>
      <c r="EFF368" s="67"/>
      <c r="EFG368" s="67"/>
      <c r="EFI368" s="357"/>
      <c r="EFJ368" s="67"/>
      <c r="EFK368" s="67"/>
      <c r="EFM368" s="357"/>
      <c r="EFN368" s="67"/>
      <c r="EFO368" s="67"/>
      <c r="EFQ368" s="357"/>
      <c r="EFR368" s="67"/>
      <c r="EFS368" s="67"/>
      <c r="EFU368" s="357"/>
      <c r="EFV368" s="67"/>
      <c r="EFW368" s="67"/>
      <c r="EFY368" s="357"/>
      <c r="EFZ368" s="67"/>
      <c r="EGA368" s="67"/>
      <c r="EGC368" s="357"/>
      <c r="EGD368" s="67"/>
      <c r="EGE368" s="67"/>
      <c r="EGG368" s="357"/>
      <c r="EGH368" s="67"/>
      <c r="EGI368" s="67"/>
      <c r="EGK368" s="357"/>
      <c r="EGL368" s="67"/>
      <c r="EGM368" s="67"/>
      <c r="EGO368" s="357"/>
      <c r="EGP368" s="67"/>
      <c r="EGQ368" s="67"/>
      <c r="EGS368" s="357"/>
      <c r="EGT368" s="67"/>
      <c r="EGU368" s="67"/>
      <c r="EGW368" s="357"/>
      <c r="EGX368" s="67"/>
      <c r="EGY368" s="67"/>
      <c r="EHA368" s="357"/>
      <c r="EHB368" s="67"/>
      <c r="EHC368" s="67"/>
      <c r="EHE368" s="357"/>
      <c r="EHF368" s="67"/>
      <c r="EHG368" s="67"/>
      <c r="EHI368" s="357"/>
      <c r="EHJ368" s="67"/>
      <c r="EHK368" s="67"/>
      <c r="EHM368" s="357"/>
      <c r="EHN368" s="67"/>
      <c r="EHO368" s="67"/>
      <c r="EHQ368" s="357"/>
      <c r="EHR368" s="67"/>
      <c r="EHS368" s="67"/>
      <c r="EHU368" s="357"/>
      <c r="EHV368" s="67"/>
      <c r="EHW368" s="67"/>
      <c r="EHY368" s="357"/>
      <c r="EHZ368" s="67"/>
      <c r="EIA368" s="67"/>
      <c r="EIC368" s="357"/>
      <c r="EID368" s="67"/>
      <c r="EIE368" s="67"/>
      <c r="EIG368" s="357"/>
      <c r="EIH368" s="67"/>
      <c r="EII368" s="67"/>
      <c r="EIK368" s="357"/>
      <c r="EIL368" s="67"/>
      <c r="EIM368" s="67"/>
      <c r="EIO368" s="357"/>
      <c r="EIP368" s="67"/>
      <c r="EIQ368" s="67"/>
      <c r="EIS368" s="357"/>
      <c r="EIT368" s="67"/>
      <c r="EIU368" s="67"/>
      <c r="EIW368" s="357"/>
      <c r="EIX368" s="67"/>
      <c r="EIY368" s="67"/>
      <c r="EJA368" s="357"/>
      <c r="EJB368" s="67"/>
      <c r="EJC368" s="67"/>
      <c r="EJE368" s="357"/>
      <c r="EJF368" s="67"/>
      <c r="EJG368" s="67"/>
      <c r="EJI368" s="357"/>
      <c r="EJJ368" s="67"/>
      <c r="EJK368" s="67"/>
      <c r="EJM368" s="357"/>
      <c r="EJN368" s="67"/>
      <c r="EJO368" s="67"/>
      <c r="EJQ368" s="357"/>
      <c r="EJR368" s="67"/>
      <c r="EJS368" s="67"/>
      <c r="EJU368" s="357"/>
      <c r="EJV368" s="67"/>
      <c r="EJW368" s="67"/>
      <c r="EJY368" s="357"/>
      <c r="EJZ368" s="67"/>
      <c r="EKA368" s="67"/>
      <c r="EKC368" s="357"/>
      <c r="EKD368" s="67"/>
      <c r="EKE368" s="67"/>
      <c r="EKG368" s="357"/>
      <c r="EKH368" s="67"/>
      <c r="EKI368" s="67"/>
      <c r="EKK368" s="357"/>
      <c r="EKL368" s="67"/>
      <c r="EKM368" s="67"/>
      <c r="EKO368" s="357"/>
      <c r="EKP368" s="67"/>
      <c r="EKQ368" s="67"/>
      <c r="EKS368" s="357"/>
      <c r="EKT368" s="67"/>
      <c r="EKU368" s="67"/>
      <c r="EKW368" s="357"/>
      <c r="EKX368" s="67"/>
      <c r="EKY368" s="67"/>
      <c r="ELA368" s="357"/>
      <c r="ELB368" s="67"/>
      <c r="ELC368" s="67"/>
      <c r="ELE368" s="357"/>
      <c r="ELF368" s="67"/>
      <c r="ELG368" s="67"/>
      <c r="ELI368" s="357"/>
      <c r="ELJ368" s="67"/>
      <c r="ELK368" s="67"/>
      <c r="ELM368" s="357"/>
      <c r="ELN368" s="67"/>
      <c r="ELO368" s="67"/>
      <c r="ELQ368" s="357"/>
      <c r="ELR368" s="67"/>
      <c r="ELS368" s="67"/>
      <c r="ELU368" s="357"/>
      <c r="ELV368" s="67"/>
      <c r="ELW368" s="67"/>
      <c r="ELY368" s="357"/>
      <c r="ELZ368" s="67"/>
      <c r="EMA368" s="67"/>
      <c r="EMC368" s="357"/>
      <c r="EMD368" s="67"/>
      <c r="EME368" s="67"/>
      <c r="EMG368" s="357"/>
      <c r="EMH368" s="67"/>
      <c r="EMI368" s="67"/>
      <c r="EMK368" s="357"/>
      <c r="EML368" s="67"/>
      <c r="EMM368" s="67"/>
      <c r="EMO368" s="357"/>
      <c r="EMP368" s="67"/>
      <c r="EMQ368" s="67"/>
      <c r="EMS368" s="357"/>
      <c r="EMT368" s="67"/>
      <c r="EMU368" s="67"/>
      <c r="EMW368" s="357"/>
      <c r="EMX368" s="67"/>
      <c r="EMY368" s="67"/>
      <c r="ENA368" s="357"/>
      <c r="ENB368" s="67"/>
      <c r="ENC368" s="67"/>
      <c r="ENE368" s="357"/>
      <c r="ENF368" s="67"/>
      <c r="ENG368" s="67"/>
      <c r="ENI368" s="357"/>
      <c r="ENJ368" s="67"/>
      <c r="ENK368" s="67"/>
      <c r="ENM368" s="357"/>
      <c r="ENN368" s="67"/>
      <c r="ENO368" s="67"/>
      <c r="ENQ368" s="357"/>
      <c r="ENR368" s="67"/>
      <c r="ENS368" s="67"/>
      <c r="ENU368" s="357"/>
      <c r="ENV368" s="67"/>
      <c r="ENW368" s="67"/>
      <c r="ENY368" s="357"/>
      <c r="ENZ368" s="67"/>
      <c r="EOA368" s="67"/>
      <c r="EOC368" s="357"/>
      <c r="EOD368" s="67"/>
      <c r="EOE368" s="67"/>
      <c r="EOG368" s="357"/>
      <c r="EOH368" s="67"/>
      <c r="EOI368" s="67"/>
      <c r="EOK368" s="357"/>
      <c r="EOL368" s="67"/>
      <c r="EOM368" s="67"/>
      <c r="EOO368" s="357"/>
      <c r="EOP368" s="67"/>
      <c r="EOQ368" s="67"/>
      <c r="EOS368" s="357"/>
      <c r="EOT368" s="67"/>
      <c r="EOU368" s="67"/>
      <c r="EOW368" s="357"/>
      <c r="EOX368" s="67"/>
      <c r="EOY368" s="67"/>
      <c r="EPA368" s="357"/>
      <c r="EPB368" s="67"/>
      <c r="EPC368" s="67"/>
      <c r="EPE368" s="357"/>
      <c r="EPF368" s="67"/>
      <c r="EPG368" s="67"/>
      <c r="EPI368" s="357"/>
      <c r="EPJ368" s="67"/>
      <c r="EPK368" s="67"/>
      <c r="EPM368" s="357"/>
      <c r="EPN368" s="67"/>
      <c r="EPO368" s="67"/>
      <c r="EPQ368" s="357"/>
      <c r="EPR368" s="67"/>
      <c r="EPS368" s="67"/>
      <c r="EPU368" s="357"/>
      <c r="EPV368" s="67"/>
      <c r="EPW368" s="67"/>
      <c r="EPY368" s="357"/>
      <c r="EPZ368" s="67"/>
      <c r="EQA368" s="67"/>
      <c r="EQC368" s="357"/>
      <c r="EQD368" s="67"/>
      <c r="EQE368" s="67"/>
      <c r="EQG368" s="357"/>
      <c r="EQH368" s="67"/>
      <c r="EQI368" s="67"/>
      <c r="EQK368" s="357"/>
      <c r="EQL368" s="67"/>
      <c r="EQM368" s="67"/>
      <c r="EQO368" s="357"/>
      <c r="EQP368" s="67"/>
      <c r="EQQ368" s="67"/>
      <c r="EQS368" s="357"/>
      <c r="EQT368" s="67"/>
      <c r="EQU368" s="67"/>
      <c r="EQW368" s="357"/>
      <c r="EQX368" s="67"/>
      <c r="EQY368" s="67"/>
      <c r="ERA368" s="357"/>
      <c r="ERB368" s="67"/>
      <c r="ERC368" s="67"/>
      <c r="ERE368" s="357"/>
      <c r="ERF368" s="67"/>
      <c r="ERG368" s="67"/>
      <c r="ERI368" s="357"/>
      <c r="ERJ368" s="67"/>
      <c r="ERK368" s="67"/>
      <c r="ERM368" s="357"/>
      <c r="ERN368" s="67"/>
      <c r="ERO368" s="67"/>
      <c r="ERQ368" s="357"/>
      <c r="ERR368" s="67"/>
      <c r="ERS368" s="67"/>
      <c r="ERU368" s="357"/>
      <c r="ERV368" s="67"/>
      <c r="ERW368" s="67"/>
      <c r="ERY368" s="357"/>
      <c r="ERZ368" s="67"/>
      <c r="ESA368" s="67"/>
      <c r="ESC368" s="357"/>
      <c r="ESD368" s="67"/>
      <c r="ESE368" s="67"/>
      <c r="ESG368" s="357"/>
      <c r="ESH368" s="67"/>
      <c r="ESI368" s="67"/>
      <c r="ESK368" s="357"/>
      <c r="ESL368" s="67"/>
      <c r="ESM368" s="67"/>
      <c r="ESO368" s="357"/>
      <c r="ESP368" s="67"/>
      <c r="ESQ368" s="67"/>
      <c r="ESS368" s="357"/>
      <c r="EST368" s="67"/>
      <c r="ESU368" s="67"/>
      <c r="ESW368" s="357"/>
      <c r="ESX368" s="67"/>
      <c r="ESY368" s="67"/>
      <c r="ETA368" s="357"/>
      <c r="ETB368" s="67"/>
      <c r="ETC368" s="67"/>
      <c r="ETE368" s="357"/>
      <c r="ETF368" s="67"/>
      <c r="ETG368" s="67"/>
      <c r="ETI368" s="357"/>
      <c r="ETJ368" s="67"/>
      <c r="ETK368" s="67"/>
      <c r="ETM368" s="357"/>
      <c r="ETN368" s="67"/>
      <c r="ETO368" s="67"/>
      <c r="ETQ368" s="357"/>
      <c r="ETR368" s="67"/>
      <c r="ETS368" s="67"/>
      <c r="ETU368" s="357"/>
      <c r="ETV368" s="67"/>
      <c r="ETW368" s="67"/>
      <c r="ETY368" s="357"/>
      <c r="ETZ368" s="67"/>
      <c r="EUA368" s="67"/>
      <c r="EUC368" s="357"/>
      <c r="EUD368" s="67"/>
      <c r="EUE368" s="67"/>
      <c r="EUG368" s="357"/>
      <c r="EUH368" s="67"/>
      <c r="EUI368" s="67"/>
      <c r="EUK368" s="357"/>
      <c r="EUL368" s="67"/>
      <c r="EUM368" s="67"/>
      <c r="EUO368" s="357"/>
      <c r="EUP368" s="67"/>
      <c r="EUQ368" s="67"/>
      <c r="EUS368" s="357"/>
      <c r="EUT368" s="67"/>
      <c r="EUU368" s="67"/>
      <c r="EUW368" s="357"/>
      <c r="EUX368" s="67"/>
      <c r="EUY368" s="67"/>
      <c r="EVA368" s="357"/>
      <c r="EVB368" s="67"/>
      <c r="EVC368" s="67"/>
      <c r="EVE368" s="357"/>
      <c r="EVF368" s="67"/>
      <c r="EVG368" s="67"/>
      <c r="EVI368" s="357"/>
      <c r="EVJ368" s="67"/>
      <c r="EVK368" s="67"/>
      <c r="EVM368" s="357"/>
      <c r="EVN368" s="67"/>
      <c r="EVO368" s="67"/>
      <c r="EVQ368" s="357"/>
      <c r="EVR368" s="67"/>
      <c r="EVS368" s="67"/>
      <c r="EVU368" s="357"/>
      <c r="EVV368" s="67"/>
      <c r="EVW368" s="67"/>
      <c r="EVY368" s="357"/>
      <c r="EVZ368" s="67"/>
      <c r="EWA368" s="67"/>
      <c r="EWC368" s="357"/>
      <c r="EWD368" s="67"/>
      <c r="EWE368" s="67"/>
      <c r="EWG368" s="357"/>
      <c r="EWH368" s="67"/>
      <c r="EWI368" s="67"/>
      <c r="EWK368" s="357"/>
      <c r="EWL368" s="67"/>
      <c r="EWM368" s="67"/>
      <c r="EWO368" s="357"/>
      <c r="EWP368" s="67"/>
      <c r="EWQ368" s="67"/>
      <c r="EWS368" s="357"/>
      <c r="EWT368" s="67"/>
      <c r="EWU368" s="67"/>
      <c r="EWW368" s="357"/>
      <c r="EWX368" s="67"/>
      <c r="EWY368" s="67"/>
      <c r="EXA368" s="357"/>
      <c r="EXB368" s="67"/>
      <c r="EXC368" s="67"/>
      <c r="EXE368" s="357"/>
      <c r="EXF368" s="67"/>
      <c r="EXG368" s="67"/>
      <c r="EXI368" s="357"/>
      <c r="EXJ368" s="67"/>
      <c r="EXK368" s="67"/>
      <c r="EXM368" s="357"/>
      <c r="EXN368" s="67"/>
      <c r="EXO368" s="67"/>
      <c r="EXQ368" s="357"/>
      <c r="EXR368" s="67"/>
      <c r="EXS368" s="67"/>
      <c r="EXU368" s="357"/>
      <c r="EXV368" s="67"/>
      <c r="EXW368" s="67"/>
      <c r="EXY368" s="357"/>
      <c r="EXZ368" s="67"/>
      <c r="EYA368" s="67"/>
      <c r="EYC368" s="357"/>
      <c r="EYD368" s="67"/>
      <c r="EYE368" s="67"/>
      <c r="EYG368" s="357"/>
      <c r="EYH368" s="67"/>
      <c r="EYI368" s="67"/>
      <c r="EYK368" s="357"/>
      <c r="EYL368" s="67"/>
      <c r="EYM368" s="67"/>
      <c r="EYO368" s="357"/>
      <c r="EYP368" s="67"/>
      <c r="EYQ368" s="67"/>
      <c r="EYS368" s="357"/>
      <c r="EYT368" s="67"/>
      <c r="EYU368" s="67"/>
      <c r="EYW368" s="357"/>
      <c r="EYX368" s="67"/>
      <c r="EYY368" s="67"/>
      <c r="EZA368" s="357"/>
      <c r="EZB368" s="67"/>
      <c r="EZC368" s="67"/>
      <c r="EZE368" s="357"/>
      <c r="EZF368" s="67"/>
      <c r="EZG368" s="67"/>
      <c r="EZI368" s="357"/>
      <c r="EZJ368" s="67"/>
      <c r="EZK368" s="67"/>
      <c r="EZM368" s="357"/>
      <c r="EZN368" s="67"/>
      <c r="EZO368" s="67"/>
      <c r="EZQ368" s="357"/>
      <c r="EZR368" s="67"/>
      <c r="EZS368" s="67"/>
      <c r="EZU368" s="357"/>
      <c r="EZV368" s="67"/>
      <c r="EZW368" s="67"/>
      <c r="EZY368" s="357"/>
      <c r="EZZ368" s="67"/>
      <c r="FAA368" s="67"/>
      <c r="FAC368" s="357"/>
      <c r="FAD368" s="67"/>
      <c r="FAE368" s="67"/>
      <c r="FAG368" s="357"/>
      <c r="FAH368" s="67"/>
      <c r="FAI368" s="67"/>
      <c r="FAK368" s="357"/>
      <c r="FAL368" s="67"/>
      <c r="FAM368" s="67"/>
      <c r="FAO368" s="357"/>
      <c r="FAP368" s="67"/>
      <c r="FAQ368" s="67"/>
      <c r="FAS368" s="357"/>
      <c r="FAT368" s="67"/>
      <c r="FAU368" s="67"/>
      <c r="FAW368" s="357"/>
      <c r="FAX368" s="67"/>
      <c r="FAY368" s="67"/>
      <c r="FBA368" s="357"/>
      <c r="FBB368" s="67"/>
      <c r="FBC368" s="67"/>
      <c r="FBE368" s="357"/>
      <c r="FBF368" s="67"/>
      <c r="FBG368" s="67"/>
      <c r="FBI368" s="357"/>
      <c r="FBJ368" s="67"/>
      <c r="FBK368" s="67"/>
      <c r="FBM368" s="357"/>
      <c r="FBN368" s="67"/>
      <c r="FBO368" s="67"/>
      <c r="FBQ368" s="357"/>
      <c r="FBR368" s="67"/>
      <c r="FBS368" s="67"/>
      <c r="FBU368" s="357"/>
      <c r="FBV368" s="67"/>
      <c r="FBW368" s="67"/>
      <c r="FBY368" s="357"/>
      <c r="FBZ368" s="67"/>
      <c r="FCA368" s="67"/>
      <c r="FCC368" s="357"/>
      <c r="FCD368" s="67"/>
      <c r="FCE368" s="67"/>
      <c r="FCG368" s="357"/>
      <c r="FCH368" s="67"/>
      <c r="FCI368" s="67"/>
      <c r="FCK368" s="357"/>
      <c r="FCL368" s="67"/>
      <c r="FCM368" s="67"/>
      <c r="FCO368" s="357"/>
      <c r="FCP368" s="67"/>
      <c r="FCQ368" s="67"/>
      <c r="FCS368" s="357"/>
      <c r="FCT368" s="67"/>
      <c r="FCU368" s="67"/>
      <c r="FCW368" s="357"/>
      <c r="FCX368" s="67"/>
      <c r="FCY368" s="67"/>
      <c r="FDA368" s="357"/>
      <c r="FDB368" s="67"/>
      <c r="FDC368" s="67"/>
      <c r="FDE368" s="357"/>
      <c r="FDF368" s="67"/>
      <c r="FDG368" s="67"/>
      <c r="FDI368" s="357"/>
      <c r="FDJ368" s="67"/>
      <c r="FDK368" s="67"/>
      <c r="FDM368" s="357"/>
      <c r="FDN368" s="67"/>
      <c r="FDO368" s="67"/>
      <c r="FDQ368" s="357"/>
      <c r="FDR368" s="67"/>
      <c r="FDS368" s="67"/>
      <c r="FDU368" s="357"/>
      <c r="FDV368" s="67"/>
      <c r="FDW368" s="67"/>
      <c r="FDY368" s="357"/>
      <c r="FDZ368" s="67"/>
      <c r="FEA368" s="67"/>
      <c r="FEC368" s="357"/>
      <c r="FED368" s="67"/>
      <c r="FEE368" s="67"/>
      <c r="FEG368" s="357"/>
      <c r="FEH368" s="67"/>
      <c r="FEI368" s="67"/>
      <c r="FEK368" s="357"/>
      <c r="FEL368" s="67"/>
      <c r="FEM368" s="67"/>
      <c r="FEO368" s="357"/>
      <c r="FEP368" s="67"/>
      <c r="FEQ368" s="67"/>
      <c r="FES368" s="357"/>
      <c r="FET368" s="67"/>
      <c r="FEU368" s="67"/>
      <c r="FEW368" s="357"/>
      <c r="FEX368" s="67"/>
      <c r="FEY368" s="67"/>
      <c r="FFA368" s="357"/>
      <c r="FFB368" s="67"/>
      <c r="FFC368" s="67"/>
      <c r="FFE368" s="357"/>
      <c r="FFF368" s="67"/>
      <c r="FFG368" s="67"/>
      <c r="FFI368" s="357"/>
      <c r="FFJ368" s="67"/>
      <c r="FFK368" s="67"/>
      <c r="FFM368" s="357"/>
      <c r="FFN368" s="67"/>
      <c r="FFO368" s="67"/>
      <c r="FFQ368" s="357"/>
      <c r="FFR368" s="67"/>
      <c r="FFS368" s="67"/>
      <c r="FFU368" s="357"/>
      <c r="FFV368" s="67"/>
      <c r="FFW368" s="67"/>
      <c r="FFY368" s="357"/>
      <c r="FFZ368" s="67"/>
      <c r="FGA368" s="67"/>
      <c r="FGC368" s="357"/>
      <c r="FGD368" s="67"/>
      <c r="FGE368" s="67"/>
      <c r="FGG368" s="357"/>
      <c r="FGH368" s="67"/>
      <c r="FGI368" s="67"/>
      <c r="FGK368" s="357"/>
      <c r="FGL368" s="67"/>
      <c r="FGM368" s="67"/>
      <c r="FGO368" s="357"/>
      <c r="FGP368" s="67"/>
      <c r="FGQ368" s="67"/>
      <c r="FGS368" s="357"/>
      <c r="FGT368" s="67"/>
      <c r="FGU368" s="67"/>
      <c r="FGW368" s="357"/>
      <c r="FGX368" s="67"/>
      <c r="FGY368" s="67"/>
      <c r="FHA368" s="357"/>
      <c r="FHB368" s="67"/>
      <c r="FHC368" s="67"/>
      <c r="FHE368" s="357"/>
      <c r="FHF368" s="67"/>
      <c r="FHG368" s="67"/>
      <c r="FHI368" s="357"/>
      <c r="FHJ368" s="67"/>
      <c r="FHK368" s="67"/>
      <c r="FHM368" s="357"/>
      <c r="FHN368" s="67"/>
      <c r="FHO368" s="67"/>
      <c r="FHQ368" s="357"/>
      <c r="FHR368" s="67"/>
      <c r="FHS368" s="67"/>
      <c r="FHU368" s="357"/>
      <c r="FHV368" s="67"/>
      <c r="FHW368" s="67"/>
      <c r="FHY368" s="357"/>
      <c r="FHZ368" s="67"/>
      <c r="FIA368" s="67"/>
      <c r="FIC368" s="357"/>
      <c r="FID368" s="67"/>
      <c r="FIE368" s="67"/>
      <c r="FIG368" s="357"/>
      <c r="FIH368" s="67"/>
      <c r="FII368" s="67"/>
      <c r="FIK368" s="357"/>
      <c r="FIL368" s="67"/>
      <c r="FIM368" s="67"/>
      <c r="FIO368" s="357"/>
      <c r="FIP368" s="67"/>
      <c r="FIQ368" s="67"/>
      <c r="FIS368" s="357"/>
      <c r="FIT368" s="67"/>
      <c r="FIU368" s="67"/>
      <c r="FIW368" s="357"/>
      <c r="FIX368" s="67"/>
      <c r="FIY368" s="67"/>
      <c r="FJA368" s="357"/>
      <c r="FJB368" s="67"/>
      <c r="FJC368" s="67"/>
      <c r="FJE368" s="357"/>
      <c r="FJF368" s="67"/>
      <c r="FJG368" s="67"/>
      <c r="FJI368" s="357"/>
      <c r="FJJ368" s="67"/>
      <c r="FJK368" s="67"/>
      <c r="FJM368" s="357"/>
      <c r="FJN368" s="67"/>
      <c r="FJO368" s="67"/>
      <c r="FJQ368" s="357"/>
      <c r="FJR368" s="67"/>
      <c r="FJS368" s="67"/>
      <c r="FJU368" s="357"/>
      <c r="FJV368" s="67"/>
      <c r="FJW368" s="67"/>
      <c r="FJY368" s="357"/>
      <c r="FJZ368" s="67"/>
      <c r="FKA368" s="67"/>
      <c r="FKC368" s="357"/>
      <c r="FKD368" s="67"/>
      <c r="FKE368" s="67"/>
      <c r="FKG368" s="357"/>
      <c r="FKH368" s="67"/>
      <c r="FKI368" s="67"/>
      <c r="FKK368" s="357"/>
      <c r="FKL368" s="67"/>
      <c r="FKM368" s="67"/>
      <c r="FKO368" s="357"/>
      <c r="FKP368" s="67"/>
      <c r="FKQ368" s="67"/>
      <c r="FKS368" s="357"/>
      <c r="FKT368" s="67"/>
      <c r="FKU368" s="67"/>
      <c r="FKW368" s="357"/>
      <c r="FKX368" s="67"/>
      <c r="FKY368" s="67"/>
      <c r="FLA368" s="357"/>
      <c r="FLB368" s="67"/>
      <c r="FLC368" s="67"/>
      <c r="FLE368" s="357"/>
      <c r="FLF368" s="67"/>
      <c r="FLG368" s="67"/>
      <c r="FLI368" s="357"/>
      <c r="FLJ368" s="67"/>
      <c r="FLK368" s="67"/>
      <c r="FLM368" s="357"/>
      <c r="FLN368" s="67"/>
      <c r="FLO368" s="67"/>
      <c r="FLQ368" s="357"/>
      <c r="FLR368" s="67"/>
      <c r="FLS368" s="67"/>
      <c r="FLU368" s="357"/>
      <c r="FLV368" s="67"/>
      <c r="FLW368" s="67"/>
      <c r="FLY368" s="357"/>
      <c r="FLZ368" s="67"/>
      <c r="FMA368" s="67"/>
      <c r="FMC368" s="357"/>
      <c r="FMD368" s="67"/>
      <c r="FME368" s="67"/>
      <c r="FMG368" s="357"/>
      <c r="FMH368" s="67"/>
      <c r="FMI368" s="67"/>
      <c r="FMK368" s="357"/>
      <c r="FML368" s="67"/>
      <c r="FMM368" s="67"/>
      <c r="FMO368" s="357"/>
      <c r="FMP368" s="67"/>
      <c r="FMQ368" s="67"/>
      <c r="FMS368" s="357"/>
      <c r="FMT368" s="67"/>
      <c r="FMU368" s="67"/>
      <c r="FMW368" s="357"/>
      <c r="FMX368" s="67"/>
      <c r="FMY368" s="67"/>
      <c r="FNA368" s="357"/>
      <c r="FNB368" s="67"/>
      <c r="FNC368" s="67"/>
      <c r="FNE368" s="357"/>
      <c r="FNF368" s="67"/>
      <c r="FNG368" s="67"/>
      <c r="FNI368" s="357"/>
      <c r="FNJ368" s="67"/>
      <c r="FNK368" s="67"/>
      <c r="FNM368" s="357"/>
      <c r="FNN368" s="67"/>
      <c r="FNO368" s="67"/>
      <c r="FNQ368" s="357"/>
      <c r="FNR368" s="67"/>
      <c r="FNS368" s="67"/>
      <c r="FNU368" s="357"/>
      <c r="FNV368" s="67"/>
      <c r="FNW368" s="67"/>
      <c r="FNY368" s="357"/>
      <c r="FNZ368" s="67"/>
      <c r="FOA368" s="67"/>
      <c r="FOC368" s="357"/>
      <c r="FOD368" s="67"/>
      <c r="FOE368" s="67"/>
      <c r="FOG368" s="357"/>
      <c r="FOH368" s="67"/>
      <c r="FOI368" s="67"/>
      <c r="FOK368" s="357"/>
      <c r="FOL368" s="67"/>
      <c r="FOM368" s="67"/>
      <c r="FOO368" s="357"/>
      <c r="FOP368" s="67"/>
      <c r="FOQ368" s="67"/>
      <c r="FOS368" s="357"/>
      <c r="FOT368" s="67"/>
      <c r="FOU368" s="67"/>
      <c r="FOW368" s="357"/>
      <c r="FOX368" s="67"/>
      <c r="FOY368" s="67"/>
      <c r="FPA368" s="357"/>
      <c r="FPB368" s="67"/>
      <c r="FPC368" s="67"/>
      <c r="FPE368" s="357"/>
      <c r="FPF368" s="67"/>
      <c r="FPG368" s="67"/>
      <c r="FPI368" s="357"/>
      <c r="FPJ368" s="67"/>
      <c r="FPK368" s="67"/>
      <c r="FPM368" s="357"/>
      <c r="FPN368" s="67"/>
      <c r="FPO368" s="67"/>
      <c r="FPQ368" s="357"/>
      <c r="FPR368" s="67"/>
      <c r="FPS368" s="67"/>
      <c r="FPU368" s="357"/>
      <c r="FPV368" s="67"/>
      <c r="FPW368" s="67"/>
      <c r="FPY368" s="357"/>
      <c r="FPZ368" s="67"/>
      <c r="FQA368" s="67"/>
      <c r="FQC368" s="357"/>
      <c r="FQD368" s="67"/>
      <c r="FQE368" s="67"/>
      <c r="FQG368" s="357"/>
      <c r="FQH368" s="67"/>
      <c r="FQI368" s="67"/>
      <c r="FQK368" s="357"/>
      <c r="FQL368" s="67"/>
      <c r="FQM368" s="67"/>
      <c r="FQO368" s="357"/>
      <c r="FQP368" s="67"/>
      <c r="FQQ368" s="67"/>
      <c r="FQS368" s="357"/>
      <c r="FQT368" s="67"/>
      <c r="FQU368" s="67"/>
      <c r="FQW368" s="357"/>
      <c r="FQX368" s="67"/>
      <c r="FQY368" s="67"/>
      <c r="FRA368" s="357"/>
      <c r="FRB368" s="67"/>
      <c r="FRC368" s="67"/>
      <c r="FRE368" s="357"/>
      <c r="FRF368" s="67"/>
      <c r="FRG368" s="67"/>
      <c r="FRI368" s="357"/>
      <c r="FRJ368" s="67"/>
      <c r="FRK368" s="67"/>
      <c r="FRM368" s="357"/>
      <c r="FRN368" s="67"/>
      <c r="FRO368" s="67"/>
      <c r="FRQ368" s="357"/>
      <c r="FRR368" s="67"/>
      <c r="FRS368" s="67"/>
      <c r="FRU368" s="357"/>
      <c r="FRV368" s="67"/>
      <c r="FRW368" s="67"/>
      <c r="FRY368" s="357"/>
      <c r="FRZ368" s="67"/>
      <c r="FSA368" s="67"/>
      <c r="FSC368" s="357"/>
      <c r="FSD368" s="67"/>
      <c r="FSE368" s="67"/>
      <c r="FSG368" s="357"/>
      <c r="FSH368" s="67"/>
      <c r="FSI368" s="67"/>
      <c r="FSK368" s="357"/>
      <c r="FSL368" s="67"/>
      <c r="FSM368" s="67"/>
      <c r="FSO368" s="357"/>
      <c r="FSP368" s="67"/>
      <c r="FSQ368" s="67"/>
      <c r="FSS368" s="357"/>
      <c r="FST368" s="67"/>
      <c r="FSU368" s="67"/>
      <c r="FSW368" s="357"/>
      <c r="FSX368" s="67"/>
      <c r="FSY368" s="67"/>
      <c r="FTA368" s="357"/>
      <c r="FTB368" s="67"/>
      <c r="FTC368" s="67"/>
      <c r="FTE368" s="357"/>
      <c r="FTF368" s="67"/>
      <c r="FTG368" s="67"/>
      <c r="FTI368" s="357"/>
      <c r="FTJ368" s="67"/>
      <c r="FTK368" s="67"/>
      <c r="FTM368" s="357"/>
      <c r="FTN368" s="67"/>
      <c r="FTO368" s="67"/>
      <c r="FTQ368" s="357"/>
      <c r="FTR368" s="67"/>
      <c r="FTS368" s="67"/>
      <c r="FTU368" s="357"/>
      <c r="FTV368" s="67"/>
      <c r="FTW368" s="67"/>
      <c r="FTY368" s="357"/>
      <c r="FTZ368" s="67"/>
      <c r="FUA368" s="67"/>
      <c r="FUC368" s="357"/>
      <c r="FUD368" s="67"/>
      <c r="FUE368" s="67"/>
      <c r="FUG368" s="357"/>
      <c r="FUH368" s="67"/>
      <c r="FUI368" s="67"/>
      <c r="FUK368" s="357"/>
      <c r="FUL368" s="67"/>
      <c r="FUM368" s="67"/>
      <c r="FUO368" s="357"/>
      <c r="FUP368" s="67"/>
      <c r="FUQ368" s="67"/>
      <c r="FUS368" s="357"/>
      <c r="FUT368" s="67"/>
      <c r="FUU368" s="67"/>
      <c r="FUW368" s="357"/>
      <c r="FUX368" s="67"/>
      <c r="FUY368" s="67"/>
      <c r="FVA368" s="357"/>
      <c r="FVB368" s="67"/>
      <c r="FVC368" s="67"/>
      <c r="FVE368" s="357"/>
      <c r="FVF368" s="67"/>
      <c r="FVG368" s="67"/>
      <c r="FVI368" s="357"/>
      <c r="FVJ368" s="67"/>
      <c r="FVK368" s="67"/>
      <c r="FVM368" s="357"/>
      <c r="FVN368" s="67"/>
      <c r="FVO368" s="67"/>
      <c r="FVQ368" s="357"/>
      <c r="FVR368" s="67"/>
      <c r="FVS368" s="67"/>
      <c r="FVU368" s="357"/>
      <c r="FVV368" s="67"/>
      <c r="FVW368" s="67"/>
      <c r="FVY368" s="357"/>
      <c r="FVZ368" s="67"/>
      <c r="FWA368" s="67"/>
      <c r="FWC368" s="357"/>
      <c r="FWD368" s="67"/>
      <c r="FWE368" s="67"/>
      <c r="FWG368" s="357"/>
      <c r="FWH368" s="67"/>
      <c r="FWI368" s="67"/>
      <c r="FWK368" s="357"/>
      <c r="FWL368" s="67"/>
      <c r="FWM368" s="67"/>
      <c r="FWO368" s="357"/>
      <c r="FWP368" s="67"/>
      <c r="FWQ368" s="67"/>
      <c r="FWS368" s="357"/>
      <c r="FWT368" s="67"/>
      <c r="FWU368" s="67"/>
      <c r="FWW368" s="357"/>
      <c r="FWX368" s="67"/>
      <c r="FWY368" s="67"/>
      <c r="FXA368" s="357"/>
      <c r="FXB368" s="67"/>
      <c r="FXC368" s="67"/>
      <c r="FXE368" s="357"/>
      <c r="FXF368" s="67"/>
      <c r="FXG368" s="67"/>
      <c r="FXI368" s="357"/>
      <c r="FXJ368" s="67"/>
      <c r="FXK368" s="67"/>
      <c r="FXM368" s="357"/>
      <c r="FXN368" s="67"/>
      <c r="FXO368" s="67"/>
      <c r="FXQ368" s="357"/>
      <c r="FXR368" s="67"/>
      <c r="FXS368" s="67"/>
      <c r="FXU368" s="357"/>
      <c r="FXV368" s="67"/>
      <c r="FXW368" s="67"/>
      <c r="FXY368" s="357"/>
      <c r="FXZ368" s="67"/>
      <c r="FYA368" s="67"/>
      <c r="FYC368" s="357"/>
      <c r="FYD368" s="67"/>
      <c r="FYE368" s="67"/>
      <c r="FYG368" s="357"/>
      <c r="FYH368" s="67"/>
      <c r="FYI368" s="67"/>
      <c r="FYK368" s="357"/>
      <c r="FYL368" s="67"/>
      <c r="FYM368" s="67"/>
      <c r="FYO368" s="357"/>
      <c r="FYP368" s="67"/>
      <c r="FYQ368" s="67"/>
      <c r="FYS368" s="357"/>
      <c r="FYT368" s="67"/>
      <c r="FYU368" s="67"/>
      <c r="FYW368" s="357"/>
      <c r="FYX368" s="67"/>
      <c r="FYY368" s="67"/>
      <c r="FZA368" s="357"/>
      <c r="FZB368" s="67"/>
      <c r="FZC368" s="67"/>
      <c r="FZE368" s="357"/>
      <c r="FZF368" s="67"/>
      <c r="FZG368" s="67"/>
      <c r="FZI368" s="357"/>
      <c r="FZJ368" s="67"/>
      <c r="FZK368" s="67"/>
      <c r="FZM368" s="357"/>
      <c r="FZN368" s="67"/>
      <c r="FZO368" s="67"/>
      <c r="FZQ368" s="357"/>
      <c r="FZR368" s="67"/>
      <c r="FZS368" s="67"/>
      <c r="FZU368" s="357"/>
      <c r="FZV368" s="67"/>
      <c r="FZW368" s="67"/>
      <c r="FZY368" s="357"/>
      <c r="FZZ368" s="67"/>
      <c r="GAA368" s="67"/>
      <c r="GAC368" s="357"/>
      <c r="GAD368" s="67"/>
      <c r="GAE368" s="67"/>
      <c r="GAG368" s="357"/>
      <c r="GAH368" s="67"/>
      <c r="GAI368" s="67"/>
      <c r="GAK368" s="357"/>
      <c r="GAL368" s="67"/>
      <c r="GAM368" s="67"/>
      <c r="GAO368" s="357"/>
      <c r="GAP368" s="67"/>
      <c r="GAQ368" s="67"/>
      <c r="GAS368" s="357"/>
      <c r="GAT368" s="67"/>
      <c r="GAU368" s="67"/>
      <c r="GAW368" s="357"/>
      <c r="GAX368" s="67"/>
      <c r="GAY368" s="67"/>
      <c r="GBA368" s="357"/>
      <c r="GBB368" s="67"/>
      <c r="GBC368" s="67"/>
      <c r="GBE368" s="357"/>
      <c r="GBF368" s="67"/>
      <c r="GBG368" s="67"/>
      <c r="GBI368" s="357"/>
      <c r="GBJ368" s="67"/>
      <c r="GBK368" s="67"/>
      <c r="GBM368" s="357"/>
      <c r="GBN368" s="67"/>
      <c r="GBO368" s="67"/>
      <c r="GBQ368" s="357"/>
      <c r="GBR368" s="67"/>
      <c r="GBS368" s="67"/>
      <c r="GBU368" s="357"/>
      <c r="GBV368" s="67"/>
      <c r="GBW368" s="67"/>
      <c r="GBY368" s="357"/>
      <c r="GBZ368" s="67"/>
      <c r="GCA368" s="67"/>
      <c r="GCC368" s="357"/>
      <c r="GCD368" s="67"/>
      <c r="GCE368" s="67"/>
      <c r="GCG368" s="357"/>
      <c r="GCH368" s="67"/>
      <c r="GCI368" s="67"/>
      <c r="GCK368" s="357"/>
      <c r="GCL368" s="67"/>
      <c r="GCM368" s="67"/>
      <c r="GCO368" s="357"/>
      <c r="GCP368" s="67"/>
      <c r="GCQ368" s="67"/>
      <c r="GCS368" s="357"/>
      <c r="GCT368" s="67"/>
      <c r="GCU368" s="67"/>
      <c r="GCW368" s="357"/>
      <c r="GCX368" s="67"/>
      <c r="GCY368" s="67"/>
      <c r="GDA368" s="357"/>
      <c r="GDB368" s="67"/>
      <c r="GDC368" s="67"/>
      <c r="GDE368" s="357"/>
      <c r="GDF368" s="67"/>
      <c r="GDG368" s="67"/>
      <c r="GDI368" s="357"/>
      <c r="GDJ368" s="67"/>
      <c r="GDK368" s="67"/>
      <c r="GDM368" s="357"/>
      <c r="GDN368" s="67"/>
      <c r="GDO368" s="67"/>
      <c r="GDQ368" s="357"/>
      <c r="GDR368" s="67"/>
      <c r="GDS368" s="67"/>
      <c r="GDU368" s="357"/>
      <c r="GDV368" s="67"/>
      <c r="GDW368" s="67"/>
      <c r="GDY368" s="357"/>
      <c r="GDZ368" s="67"/>
      <c r="GEA368" s="67"/>
      <c r="GEC368" s="357"/>
      <c r="GED368" s="67"/>
      <c r="GEE368" s="67"/>
      <c r="GEG368" s="357"/>
      <c r="GEH368" s="67"/>
      <c r="GEI368" s="67"/>
      <c r="GEK368" s="357"/>
      <c r="GEL368" s="67"/>
      <c r="GEM368" s="67"/>
      <c r="GEO368" s="357"/>
      <c r="GEP368" s="67"/>
      <c r="GEQ368" s="67"/>
      <c r="GES368" s="357"/>
      <c r="GET368" s="67"/>
      <c r="GEU368" s="67"/>
      <c r="GEW368" s="357"/>
      <c r="GEX368" s="67"/>
      <c r="GEY368" s="67"/>
      <c r="GFA368" s="357"/>
      <c r="GFB368" s="67"/>
      <c r="GFC368" s="67"/>
      <c r="GFE368" s="357"/>
      <c r="GFF368" s="67"/>
      <c r="GFG368" s="67"/>
      <c r="GFI368" s="357"/>
      <c r="GFJ368" s="67"/>
      <c r="GFK368" s="67"/>
      <c r="GFM368" s="357"/>
      <c r="GFN368" s="67"/>
      <c r="GFO368" s="67"/>
      <c r="GFQ368" s="357"/>
      <c r="GFR368" s="67"/>
      <c r="GFS368" s="67"/>
      <c r="GFU368" s="357"/>
      <c r="GFV368" s="67"/>
      <c r="GFW368" s="67"/>
      <c r="GFY368" s="357"/>
      <c r="GFZ368" s="67"/>
      <c r="GGA368" s="67"/>
      <c r="GGC368" s="357"/>
      <c r="GGD368" s="67"/>
      <c r="GGE368" s="67"/>
      <c r="GGG368" s="357"/>
      <c r="GGH368" s="67"/>
      <c r="GGI368" s="67"/>
      <c r="GGK368" s="357"/>
      <c r="GGL368" s="67"/>
      <c r="GGM368" s="67"/>
      <c r="GGO368" s="357"/>
      <c r="GGP368" s="67"/>
      <c r="GGQ368" s="67"/>
      <c r="GGS368" s="357"/>
      <c r="GGT368" s="67"/>
      <c r="GGU368" s="67"/>
      <c r="GGW368" s="357"/>
      <c r="GGX368" s="67"/>
      <c r="GGY368" s="67"/>
      <c r="GHA368" s="357"/>
      <c r="GHB368" s="67"/>
      <c r="GHC368" s="67"/>
      <c r="GHE368" s="357"/>
      <c r="GHF368" s="67"/>
      <c r="GHG368" s="67"/>
      <c r="GHI368" s="357"/>
      <c r="GHJ368" s="67"/>
      <c r="GHK368" s="67"/>
      <c r="GHM368" s="357"/>
      <c r="GHN368" s="67"/>
      <c r="GHO368" s="67"/>
      <c r="GHQ368" s="357"/>
      <c r="GHR368" s="67"/>
      <c r="GHS368" s="67"/>
      <c r="GHU368" s="357"/>
      <c r="GHV368" s="67"/>
      <c r="GHW368" s="67"/>
      <c r="GHY368" s="357"/>
      <c r="GHZ368" s="67"/>
      <c r="GIA368" s="67"/>
      <c r="GIC368" s="357"/>
      <c r="GID368" s="67"/>
      <c r="GIE368" s="67"/>
      <c r="GIG368" s="357"/>
      <c r="GIH368" s="67"/>
      <c r="GII368" s="67"/>
      <c r="GIK368" s="357"/>
      <c r="GIL368" s="67"/>
      <c r="GIM368" s="67"/>
      <c r="GIO368" s="357"/>
      <c r="GIP368" s="67"/>
      <c r="GIQ368" s="67"/>
      <c r="GIS368" s="357"/>
      <c r="GIT368" s="67"/>
      <c r="GIU368" s="67"/>
      <c r="GIW368" s="357"/>
      <c r="GIX368" s="67"/>
      <c r="GIY368" s="67"/>
      <c r="GJA368" s="357"/>
      <c r="GJB368" s="67"/>
      <c r="GJC368" s="67"/>
      <c r="GJE368" s="357"/>
      <c r="GJF368" s="67"/>
      <c r="GJG368" s="67"/>
      <c r="GJI368" s="357"/>
      <c r="GJJ368" s="67"/>
      <c r="GJK368" s="67"/>
      <c r="GJM368" s="357"/>
      <c r="GJN368" s="67"/>
      <c r="GJO368" s="67"/>
      <c r="GJQ368" s="357"/>
      <c r="GJR368" s="67"/>
      <c r="GJS368" s="67"/>
      <c r="GJU368" s="357"/>
      <c r="GJV368" s="67"/>
      <c r="GJW368" s="67"/>
      <c r="GJY368" s="357"/>
      <c r="GJZ368" s="67"/>
      <c r="GKA368" s="67"/>
      <c r="GKC368" s="357"/>
      <c r="GKD368" s="67"/>
      <c r="GKE368" s="67"/>
      <c r="GKG368" s="357"/>
      <c r="GKH368" s="67"/>
      <c r="GKI368" s="67"/>
      <c r="GKK368" s="357"/>
      <c r="GKL368" s="67"/>
      <c r="GKM368" s="67"/>
      <c r="GKO368" s="357"/>
      <c r="GKP368" s="67"/>
      <c r="GKQ368" s="67"/>
      <c r="GKS368" s="357"/>
      <c r="GKT368" s="67"/>
      <c r="GKU368" s="67"/>
      <c r="GKW368" s="357"/>
      <c r="GKX368" s="67"/>
      <c r="GKY368" s="67"/>
      <c r="GLA368" s="357"/>
      <c r="GLB368" s="67"/>
      <c r="GLC368" s="67"/>
      <c r="GLE368" s="357"/>
      <c r="GLF368" s="67"/>
      <c r="GLG368" s="67"/>
      <c r="GLI368" s="357"/>
      <c r="GLJ368" s="67"/>
      <c r="GLK368" s="67"/>
      <c r="GLM368" s="357"/>
      <c r="GLN368" s="67"/>
      <c r="GLO368" s="67"/>
      <c r="GLQ368" s="357"/>
      <c r="GLR368" s="67"/>
      <c r="GLS368" s="67"/>
      <c r="GLU368" s="357"/>
      <c r="GLV368" s="67"/>
      <c r="GLW368" s="67"/>
      <c r="GLY368" s="357"/>
      <c r="GLZ368" s="67"/>
      <c r="GMA368" s="67"/>
      <c r="GMC368" s="357"/>
      <c r="GMD368" s="67"/>
      <c r="GME368" s="67"/>
      <c r="GMG368" s="357"/>
      <c r="GMH368" s="67"/>
      <c r="GMI368" s="67"/>
      <c r="GMK368" s="357"/>
      <c r="GML368" s="67"/>
      <c r="GMM368" s="67"/>
      <c r="GMO368" s="357"/>
      <c r="GMP368" s="67"/>
      <c r="GMQ368" s="67"/>
      <c r="GMS368" s="357"/>
      <c r="GMT368" s="67"/>
      <c r="GMU368" s="67"/>
      <c r="GMW368" s="357"/>
      <c r="GMX368" s="67"/>
      <c r="GMY368" s="67"/>
      <c r="GNA368" s="357"/>
      <c r="GNB368" s="67"/>
      <c r="GNC368" s="67"/>
      <c r="GNE368" s="357"/>
      <c r="GNF368" s="67"/>
      <c r="GNG368" s="67"/>
      <c r="GNI368" s="357"/>
      <c r="GNJ368" s="67"/>
      <c r="GNK368" s="67"/>
      <c r="GNM368" s="357"/>
      <c r="GNN368" s="67"/>
      <c r="GNO368" s="67"/>
      <c r="GNQ368" s="357"/>
      <c r="GNR368" s="67"/>
      <c r="GNS368" s="67"/>
      <c r="GNU368" s="357"/>
      <c r="GNV368" s="67"/>
      <c r="GNW368" s="67"/>
      <c r="GNY368" s="357"/>
      <c r="GNZ368" s="67"/>
      <c r="GOA368" s="67"/>
      <c r="GOC368" s="357"/>
      <c r="GOD368" s="67"/>
      <c r="GOE368" s="67"/>
      <c r="GOG368" s="357"/>
      <c r="GOH368" s="67"/>
      <c r="GOI368" s="67"/>
      <c r="GOK368" s="357"/>
      <c r="GOL368" s="67"/>
      <c r="GOM368" s="67"/>
      <c r="GOO368" s="357"/>
      <c r="GOP368" s="67"/>
      <c r="GOQ368" s="67"/>
      <c r="GOS368" s="357"/>
      <c r="GOT368" s="67"/>
      <c r="GOU368" s="67"/>
      <c r="GOW368" s="357"/>
      <c r="GOX368" s="67"/>
      <c r="GOY368" s="67"/>
      <c r="GPA368" s="357"/>
      <c r="GPB368" s="67"/>
      <c r="GPC368" s="67"/>
      <c r="GPE368" s="357"/>
      <c r="GPF368" s="67"/>
      <c r="GPG368" s="67"/>
      <c r="GPI368" s="357"/>
      <c r="GPJ368" s="67"/>
      <c r="GPK368" s="67"/>
      <c r="GPM368" s="357"/>
      <c r="GPN368" s="67"/>
      <c r="GPO368" s="67"/>
      <c r="GPQ368" s="357"/>
      <c r="GPR368" s="67"/>
      <c r="GPS368" s="67"/>
      <c r="GPU368" s="357"/>
      <c r="GPV368" s="67"/>
      <c r="GPW368" s="67"/>
      <c r="GPY368" s="357"/>
      <c r="GPZ368" s="67"/>
      <c r="GQA368" s="67"/>
      <c r="GQC368" s="357"/>
      <c r="GQD368" s="67"/>
      <c r="GQE368" s="67"/>
      <c r="GQG368" s="357"/>
      <c r="GQH368" s="67"/>
      <c r="GQI368" s="67"/>
      <c r="GQK368" s="357"/>
      <c r="GQL368" s="67"/>
      <c r="GQM368" s="67"/>
      <c r="GQO368" s="357"/>
      <c r="GQP368" s="67"/>
      <c r="GQQ368" s="67"/>
      <c r="GQS368" s="357"/>
      <c r="GQT368" s="67"/>
      <c r="GQU368" s="67"/>
      <c r="GQW368" s="357"/>
      <c r="GQX368" s="67"/>
      <c r="GQY368" s="67"/>
      <c r="GRA368" s="357"/>
      <c r="GRB368" s="67"/>
      <c r="GRC368" s="67"/>
      <c r="GRE368" s="357"/>
      <c r="GRF368" s="67"/>
      <c r="GRG368" s="67"/>
      <c r="GRI368" s="357"/>
      <c r="GRJ368" s="67"/>
      <c r="GRK368" s="67"/>
      <c r="GRM368" s="357"/>
      <c r="GRN368" s="67"/>
      <c r="GRO368" s="67"/>
      <c r="GRQ368" s="357"/>
      <c r="GRR368" s="67"/>
      <c r="GRS368" s="67"/>
      <c r="GRU368" s="357"/>
      <c r="GRV368" s="67"/>
      <c r="GRW368" s="67"/>
      <c r="GRY368" s="357"/>
      <c r="GRZ368" s="67"/>
      <c r="GSA368" s="67"/>
      <c r="GSC368" s="357"/>
      <c r="GSD368" s="67"/>
      <c r="GSE368" s="67"/>
      <c r="GSG368" s="357"/>
      <c r="GSH368" s="67"/>
      <c r="GSI368" s="67"/>
      <c r="GSK368" s="357"/>
      <c r="GSL368" s="67"/>
      <c r="GSM368" s="67"/>
      <c r="GSO368" s="357"/>
      <c r="GSP368" s="67"/>
      <c r="GSQ368" s="67"/>
      <c r="GSS368" s="357"/>
      <c r="GST368" s="67"/>
      <c r="GSU368" s="67"/>
      <c r="GSW368" s="357"/>
      <c r="GSX368" s="67"/>
      <c r="GSY368" s="67"/>
      <c r="GTA368" s="357"/>
      <c r="GTB368" s="67"/>
      <c r="GTC368" s="67"/>
      <c r="GTE368" s="357"/>
      <c r="GTF368" s="67"/>
      <c r="GTG368" s="67"/>
      <c r="GTI368" s="357"/>
      <c r="GTJ368" s="67"/>
      <c r="GTK368" s="67"/>
      <c r="GTM368" s="357"/>
      <c r="GTN368" s="67"/>
      <c r="GTO368" s="67"/>
      <c r="GTQ368" s="357"/>
      <c r="GTR368" s="67"/>
      <c r="GTS368" s="67"/>
      <c r="GTU368" s="357"/>
      <c r="GTV368" s="67"/>
      <c r="GTW368" s="67"/>
      <c r="GTY368" s="357"/>
      <c r="GTZ368" s="67"/>
      <c r="GUA368" s="67"/>
      <c r="GUC368" s="357"/>
      <c r="GUD368" s="67"/>
      <c r="GUE368" s="67"/>
      <c r="GUG368" s="357"/>
      <c r="GUH368" s="67"/>
      <c r="GUI368" s="67"/>
      <c r="GUK368" s="357"/>
      <c r="GUL368" s="67"/>
      <c r="GUM368" s="67"/>
      <c r="GUO368" s="357"/>
      <c r="GUP368" s="67"/>
      <c r="GUQ368" s="67"/>
      <c r="GUS368" s="357"/>
      <c r="GUT368" s="67"/>
      <c r="GUU368" s="67"/>
      <c r="GUW368" s="357"/>
      <c r="GUX368" s="67"/>
      <c r="GUY368" s="67"/>
      <c r="GVA368" s="357"/>
      <c r="GVB368" s="67"/>
      <c r="GVC368" s="67"/>
      <c r="GVE368" s="357"/>
      <c r="GVF368" s="67"/>
      <c r="GVG368" s="67"/>
      <c r="GVI368" s="357"/>
      <c r="GVJ368" s="67"/>
      <c r="GVK368" s="67"/>
      <c r="GVM368" s="357"/>
      <c r="GVN368" s="67"/>
      <c r="GVO368" s="67"/>
      <c r="GVQ368" s="357"/>
      <c r="GVR368" s="67"/>
      <c r="GVS368" s="67"/>
      <c r="GVU368" s="357"/>
      <c r="GVV368" s="67"/>
      <c r="GVW368" s="67"/>
      <c r="GVY368" s="357"/>
      <c r="GVZ368" s="67"/>
      <c r="GWA368" s="67"/>
      <c r="GWC368" s="357"/>
      <c r="GWD368" s="67"/>
      <c r="GWE368" s="67"/>
      <c r="GWG368" s="357"/>
      <c r="GWH368" s="67"/>
      <c r="GWI368" s="67"/>
      <c r="GWK368" s="357"/>
      <c r="GWL368" s="67"/>
      <c r="GWM368" s="67"/>
      <c r="GWO368" s="357"/>
      <c r="GWP368" s="67"/>
      <c r="GWQ368" s="67"/>
      <c r="GWS368" s="357"/>
      <c r="GWT368" s="67"/>
      <c r="GWU368" s="67"/>
      <c r="GWW368" s="357"/>
      <c r="GWX368" s="67"/>
      <c r="GWY368" s="67"/>
      <c r="GXA368" s="357"/>
      <c r="GXB368" s="67"/>
      <c r="GXC368" s="67"/>
      <c r="GXE368" s="357"/>
      <c r="GXF368" s="67"/>
      <c r="GXG368" s="67"/>
      <c r="GXI368" s="357"/>
      <c r="GXJ368" s="67"/>
      <c r="GXK368" s="67"/>
      <c r="GXM368" s="357"/>
      <c r="GXN368" s="67"/>
      <c r="GXO368" s="67"/>
      <c r="GXQ368" s="357"/>
      <c r="GXR368" s="67"/>
      <c r="GXS368" s="67"/>
      <c r="GXU368" s="357"/>
      <c r="GXV368" s="67"/>
      <c r="GXW368" s="67"/>
      <c r="GXY368" s="357"/>
      <c r="GXZ368" s="67"/>
      <c r="GYA368" s="67"/>
      <c r="GYC368" s="357"/>
      <c r="GYD368" s="67"/>
      <c r="GYE368" s="67"/>
      <c r="GYG368" s="357"/>
      <c r="GYH368" s="67"/>
      <c r="GYI368" s="67"/>
      <c r="GYK368" s="357"/>
      <c r="GYL368" s="67"/>
      <c r="GYM368" s="67"/>
      <c r="GYO368" s="357"/>
      <c r="GYP368" s="67"/>
      <c r="GYQ368" s="67"/>
      <c r="GYS368" s="357"/>
      <c r="GYT368" s="67"/>
      <c r="GYU368" s="67"/>
      <c r="GYW368" s="357"/>
      <c r="GYX368" s="67"/>
      <c r="GYY368" s="67"/>
      <c r="GZA368" s="357"/>
      <c r="GZB368" s="67"/>
      <c r="GZC368" s="67"/>
      <c r="GZE368" s="357"/>
      <c r="GZF368" s="67"/>
      <c r="GZG368" s="67"/>
      <c r="GZI368" s="357"/>
      <c r="GZJ368" s="67"/>
      <c r="GZK368" s="67"/>
      <c r="GZM368" s="357"/>
      <c r="GZN368" s="67"/>
      <c r="GZO368" s="67"/>
      <c r="GZQ368" s="357"/>
      <c r="GZR368" s="67"/>
      <c r="GZS368" s="67"/>
      <c r="GZU368" s="357"/>
      <c r="GZV368" s="67"/>
      <c r="GZW368" s="67"/>
      <c r="GZY368" s="357"/>
      <c r="GZZ368" s="67"/>
      <c r="HAA368" s="67"/>
      <c r="HAC368" s="357"/>
      <c r="HAD368" s="67"/>
      <c r="HAE368" s="67"/>
      <c r="HAG368" s="357"/>
      <c r="HAH368" s="67"/>
      <c r="HAI368" s="67"/>
      <c r="HAK368" s="357"/>
      <c r="HAL368" s="67"/>
      <c r="HAM368" s="67"/>
      <c r="HAO368" s="357"/>
      <c r="HAP368" s="67"/>
      <c r="HAQ368" s="67"/>
      <c r="HAS368" s="357"/>
      <c r="HAT368" s="67"/>
      <c r="HAU368" s="67"/>
      <c r="HAW368" s="357"/>
      <c r="HAX368" s="67"/>
      <c r="HAY368" s="67"/>
      <c r="HBA368" s="357"/>
      <c r="HBB368" s="67"/>
      <c r="HBC368" s="67"/>
      <c r="HBE368" s="357"/>
      <c r="HBF368" s="67"/>
      <c r="HBG368" s="67"/>
      <c r="HBI368" s="357"/>
      <c r="HBJ368" s="67"/>
      <c r="HBK368" s="67"/>
      <c r="HBM368" s="357"/>
      <c r="HBN368" s="67"/>
      <c r="HBO368" s="67"/>
      <c r="HBQ368" s="357"/>
      <c r="HBR368" s="67"/>
      <c r="HBS368" s="67"/>
      <c r="HBU368" s="357"/>
      <c r="HBV368" s="67"/>
      <c r="HBW368" s="67"/>
      <c r="HBY368" s="357"/>
      <c r="HBZ368" s="67"/>
      <c r="HCA368" s="67"/>
      <c r="HCC368" s="357"/>
      <c r="HCD368" s="67"/>
      <c r="HCE368" s="67"/>
      <c r="HCG368" s="357"/>
      <c r="HCH368" s="67"/>
      <c r="HCI368" s="67"/>
      <c r="HCK368" s="357"/>
      <c r="HCL368" s="67"/>
      <c r="HCM368" s="67"/>
      <c r="HCO368" s="357"/>
      <c r="HCP368" s="67"/>
      <c r="HCQ368" s="67"/>
      <c r="HCS368" s="357"/>
      <c r="HCT368" s="67"/>
      <c r="HCU368" s="67"/>
      <c r="HCW368" s="357"/>
      <c r="HCX368" s="67"/>
      <c r="HCY368" s="67"/>
      <c r="HDA368" s="357"/>
      <c r="HDB368" s="67"/>
      <c r="HDC368" s="67"/>
      <c r="HDE368" s="357"/>
      <c r="HDF368" s="67"/>
      <c r="HDG368" s="67"/>
      <c r="HDI368" s="357"/>
      <c r="HDJ368" s="67"/>
      <c r="HDK368" s="67"/>
      <c r="HDM368" s="357"/>
      <c r="HDN368" s="67"/>
      <c r="HDO368" s="67"/>
      <c r="HDQ368" s="357"/>
      <c r="HDR368" s="67"/>
      <c r="HDS368" s="67"/>
      <c r="HDU368" s="357"/>
      <c r="HDV368" s="67"/>
      <c r="HDW368" s="67"/>
      <c r="HDY368" s="357"/>
      <c r="HDZ368" s="67"/>
      <c r="HEA368" s="67"/>
      <c r="HEC368" s="357"/>
      <c r="HED368" s="67"/>
      <c r="HEE368" s="67"/>
      <c r="HEG368" s="357"/>
      <c r="HEH368" s="67"/>
      <c r="HEI368" s="67"/>
      <c r="HEK368" s="357"/>
      <c r="HEL368" s="67"/>
      <c r="HEM368" s="67"/>
      <c r="HEO368" s="357"/>
      <c r="HEP368" s="67"/>
      <c r="HEQ368" s="67"/>
      <c r="HES368" s="357"/>
      <c r="HET368" s="67"/>
      <c r="HEU368" s="67"/>
      <c r="HEW368" s="357"/>
      <c r="HEX368" s="67"/>
      <c r="HEY368" s="67"/>
      <c r="HFA368" s="357"/>
      <c r="HFB368" s="67"/>
      <c r="HFC368" s="67"/>
      <c r="HFE368" s="357"/>
      <c r="HFF368" s="67"/>
      <c r="HFG368" s="67"/>
      <c r="HFI368" s="357"/>
      <c r="HFJ368" s="67"/>
      <c r="HFK368" s="67"/>
      <c r="HFM368" s="357"/>
      <c r="HFN368" s="67"/>
      <c r="HFO368" s="67"/>
      <c r="HFQ368" s="357"/>
      <c r="HFR368" s="67"/>
      <c r="HFS368" s="67"/>
      <c r="HFU368" s="357"/>
      <c r="HFV368" s="67"/>
      <c r="HFW368" s="67"/>
      <c r="HFY368" s="357"/>
      <c r="HFZ368" s="67"/>
      <c r="HGA368" s="67"/>
      <c r="HGC368" s="357"/>
      <c r="HGD368" s="67"/>
      <c r="HGE368" s="67"/>
      <c r="HGG368" s="357"/>
      <c r="HGH368" s="67"/>
      <c r="HGI368" s="67"/>
      <c r="HGK368" s="357"/>
      <c r="HGL368" s="67"/>
      <c r="HGM368" s="67"/>
      <c r="HGO368" s="357"/>
      <c r="HGP368" s="67"/>
      <c r="HGQ368" s="67"/>
      <c r="HGS368" s="357"/>
      <c r="HGT368" s="67"/>
      <c r="HGU368" s="67"/>
      <c r="HGW368" s="357"/>
      <c r="HGX368" s="67"/>
      <c r="HGY368" s="67"/>
      <c r="HHA368" s="357"/>
      <c r="HHB368" s="67"/>
      <c r="HHC368" s="67"/>
      <c r="HHE368" s="357"/>
      <c r="HHF368" s="67"/>
      <c r="HHG368" s="67"/>
      <c r="HHI368" s="357"/>
      <c r="HHJ368" s="67"/>
      <c r="HHK368" s="67"/>
      <c r="HHM368" s="357"/>
      <c r="HHN368" s="67"/>
      <c r="HHO368" s="67"/>
      <c r="HHQ368" s="357"/>
      <c r="HHR368" s="67"/>
      <c r="HHS368" s="67"/>
      <c r="HHU368" s="357"/>
      <c r="HHV368" s="67"/>
      <c r="HHW368" s="67"/>
      <c r="HHY368" s="357"/>
      <c r="HHZ368" s="67"/>
      <c r="HIA368" s="67"/>
      <c r="HIC368" s="357"/>
      <c r="HID368" s="67"/>
      <c r="HIE368" s="67"/>
      <c r="HIG368" s="357"/>
      <c r="HIH368" s="67"/>
      <c r="HII368" s="67"/>
      <c r="HIK368" s="357"/>
      <c r="HIL368" s="67"/>
      <c r="HIM368" s="67"/>
      <c r="HIO368" s="357"/>
      <c r="HIP368" s="67"/>
      <c r="HIQ368" s="67"/>
      <c r="HIS368" s="357"/>
      <c r="HIT368" s="67"/>
      <c r="HIU368" s="67"/>
      <c r="HIW368" s="357"/>
      <c r="HIX368" s="67"/>
      <c r="HIY368" s="67"/>
      <c r="HJA368" s="357"/>
      <c r="HJB368" s="67"/>
      <c r="HJC368" s="67"/>
      <c r="HJE368" s="357"/>
      <c r="HJF368" s="67"/>
      <c r="HJG368" s="67"/>
      <c r="HJI368" s="357"/>
      <c r="HJJ368" s="67"/>
      <c r="HJK368" s="67"/>
      <c r="HJM368" s="357"/>
      <c r="HJN368" s="67"/>
      <c r="HJO368" s="67"/>
      <c r="HJQ368" s="357"/>
      <c r="HJR368" s="67"/>
      <c r="HJS368" s="67"/>
      <c r="HJU368" s="357"/>
      <c r="HJV368" s="67"/>
      <c r="HJW368" s="67"/>
      <c r="HJY368" s="357"/>
      <c r="HJZ368" s="67"/>
      <c r="HKA368" s="67"/>
      <c r="HKC368" s="357"/>
      <c r="HKD368" s="67"/>
      <c r="HKE368" s="67"/>
      <c r="HKG368" s="357"/>
      <c r="HKH368" s="67"/>
      <c r="HKI368" s="67"/>
      <c r="HKK368" s="357"/>
      <c r="HKL368" s="67"/>
      <c r="HKM368" s="67"/>
      <c r="HKO368" s="357"/>
      <c r="HKP368" s="67"/>
      <c r="HKQ368" s="67"/>
      <c r="HKS368" s="357"/>
      <c r="HKT368" s="67"/>
      <c r="HKU368" s="67"/>
      <c r="HKW368" s="357"/>
      <c r="HKX368" s="67"/>
      <c r="HKY368" s="67"/>
      <c r="HLA368" s="357"/>
      <c r="HLB368" s="67"/>
      <c r="HLC368" s="67"/>
      <c r="HLE368" s="357"/>
      <c r="HLF368" s="67"/>
      <c r="HLG368" s="67"/>
      <c r="HLI368" s="357"/>
      <c r="HLJ368" s="67"/>
      <c r="HLK368" s="67"/>
      <c r="HLM368" s="357"/>
      <c r="HLN368" s="67"/>
      <c r="HLO368" s="67"/>
      <c r="HLQ368" s="357"/>
      <c r="HLR368" s="67"/>
      <c r="HLS368" s="67"/>
      <c r="HLU368" s="357"/>
      <c r="HLV368" s="67"/>
      <c r="HLW368" s="67"/>
      <c r="HLY368" s="357"/>
      <c r="HLZ368" s="67"/>
      <c r="HMA368" s="67"/>
      <c r="HMC368" s="357"/>
      <c r="HMD368" s="67"/>
      <c r="HME368" s="67"/>
      <c r="HMG368" s="357"/>
      <c r="HMH368" s="67"/>
      <c r="HMI368" s="67"/>
      <c r="HMK368" s="357"/>
      <c r="HML368" s="67"/>
      <c r="HMM368" s="67"/>
      <c r="HMO368" s="357"/>
      <c r="HMP368" s="67"/>
      <c r="HMQ368" s="67"/>
      <c r="HMS368" s="357"/>
      <c r="HMT368" s="67"/>
      <c r="HMU368" s="67"/>
      <c r="HMW368" s="357"/>
      <c r="HMX368" s="67"/>
      <c r="HMY368" s="67"/>
      <c r="HNA368" s="357"/>
      <c r="HNB368" s="67"/>
      <c r="HNC368" s="67"/>
      <c r="HNE368" s="357"/>
      <c r="HNF368" s="67"/>
      <c r="HNG368" s="67"/>
      <c r="HNI368" s="357"/>
      <c r="HNJ368" s="67"/>
      <c r="HNK368" s="67"/>
      <c r="HNM368" s="357"/>
      <c r="HNN368" s="67"/>
      <c r="HNO368" s="67"/>
      <c r="HNQ368" s="357"/>
      <c r="HNR368" s="67"/>
      <c r="HNS368" s="67"/>
      <c r="HNU368" s="357"/>
      <c r="HNV368" s="67"/>
      <c r="HNW368" s="67"/>
      <c r="HNY368" s="357"/>
      <c r="HNZ368" s="67"/>
      <c r="HOA368" s="67"/>
      <c r="HOC368" s="357"/>
      <c r="HOD368" s="67"/>
      <c r="HOE368" s="67"/>
      <c r="HOG368" s="357"/>
      <c r="HOH368" s="67"/>
      <c r="HOI368" s="67"/>
      <c r="HOK368" s="357"/>
      <c r="HOL368" s="67"/>
      <c r="HOM368" s="67"/>
      <c r="HOO368" s="357"/>
      <c r="HOP368" s="67"/>
      <c r="HOQ368" s="67"/>
      <c r="HOS368" s="357"/>
      <c r="HOT368" s="67"/>
      <c r="HOU368" s="67"/>
      <c r="HOW368" s="357"/>
      <c r="HOX368" s="67"/>
      <c r="HOY368" s="67"/>
      <c r="HPA368" s="357"/>
      <c r="HPB368" s="67"/>
      <c r="HPC368" s="67"/>
      <c r="HPE368" s="357"/>
      <c r="HPF368" s="67"/>
      <c r="HPG368" s="67"/>
      <c r="HPI368" s="357"/>
      <c r="HPJ368" s="67"/>
      <c r="HPK368" s="67"/>
      <c r="HPM368" s="357"/>
      <c r="HPN368" s="67"/>
      <c r="HPO368" s="67"/>
      <c r="HPQ368" s="357"/>
      <c r="HPR368" s="67"/>
      <c r="HPS368" s="67"/>
      <c r="HPU368" s="357"/>
      <c r="HPV368" s="67"/>
      <c r="HPW368" s="67"/>
      <c r="HPY368" s="357"/>
      <c r="HPZ368" s="67"/>
      <c r="HQA368" s="67"/>
      <c r="HQC368" s="357"/>
      <c r="HQD368" s="67"/>
      <c r="HQE368" s="67"/>
      <c r="HQG368" s="357"/>
      <c r="HQH368" s="67"/>
      <c r="HQI368" s="67"/>
      <c r="HQK368" s="357"/>
      <c r="HQL368" s="67"/>
      <c r="HQM368" s="67"/>
      <c r="HQO368" s="357"/>
      <c r="HQP368" s="67"/>
      <c r="HQQ368" s="67"/>
      <c r="HQS368" s="357"/>
      <c r="HQT368" s="67"/>
      <c r="HQU368" s="67"/>
      <c r="HQW368" s="357"/>
      <c r="HQX368" s="67"/>
      <c r="HQY368" s="67"/>
      <c r="HRA368" s="357"/>
      <c r="HRB368" s="67"/>
      <c r="HRC368" s="67"/>
      <c r="HRE368" s="357"/>
      <c r="HRF368" s="67"/>
      <c r="HRG368" s="67"/>
      <c r="HRI368" s="357"/>
      <c r="HRJ368" s="67"/>
      <c r="HRK368" s="67"/>
      <c r="HRM368" s="357"/>
      <c r="HRN368" s="67"/>
      <c r="HRO368" s="67"/>
      <c r="HRQ368" s="357"/>
      <c r="HRR368" s="67"/>
      <c r="HRS368" s="67"/>
      <c r="HRU368" s="357"/>
      <c r="HRV368" s="67"/>
      <c r="HRW368" s="67"/>
      <c r="HRY368" s="357"/>
      <c r="HRZ368" s="67"/>
      <c r="HSA368" s="67"/>
      <c r="HSC368" s="357"/>
      <c r="HSD368" s="67"/>
      <c r="HSE368" s="67"/>
      <c r="HSG368" s="357"/>
      <c r="HSH368" s="67"/>
      <c r="HSI368" s="67"/>
      <c r="HSK368" s="357"/>
      <c r="HSL368" s="67"/>
      <c r="HSM368" s="67"/>
      <c r="HSO368" s="357"/>
      <c r="HSP368" s="67"/>
      <c r="HSQ368" s="67"/>
      <c r="HSS368" s="357"/>
      <c r="HST368" s="67"/>
      <c r="HSU368" s="67"/>
      <c r="HSW368" s="357"/>
      <c r="HSX368" s="67"/>
      <c r="HSY368" s="67"/>
      <c r="HTA368" s="357"/>
      <c r="HTB368" s="67"/>
      <c r="HTC368" s="67"/>
      <c r="HTE368" s="357"/>
      <c r="HTF368" s="67"/>
      <c r="HTG368" s="67"/>
      <c r="HTI368" s="357"/>
      <c r="HTJ368" s="67"/>
      <c r="HTK368" s="67"/>
      <c r="HTM368" s="357"/>
      <c r="HTN368" s="67"/>
      <c r="HTO368" s="67"/>
      <c r="HTQ368" s="357"/>
      <c r="HTR368" s="67"/>
      <c r="HTS368" s="67"/>
      <c r="HTU368" s="357"/>
      <c r="HTV368" s="67"/>
      <c r="HTW368" s="67"/>
      <c r="HTY368" s="357"/>
      <c r="HTZ368" s="67"/>
      <c r="HUA368" s="67"/>
      <c r="HUC368" s="357"/>
      <c r="HUD368" s="67"/>
      <c r="HUE368" s="67"/>
      <c r="HUG368" s="357"/>
      <c r="HUH368" s="67"/>
      <c r="HUI368" s="67"/>
      <c r="HUK368" s="357"/>
      <c r="HUL368" s="67"/>
      <c r="HUM368" s="67"/>
      <c r="HUO368" s="357"/>
      <c r="HUP368" s="67"/>
      <c r="HUQ368" s="67"/>
      <c r="HUS368" s="357"/>
      <c r="HUT368" s="67"/>
      <c r="HUU368" s="67"/>
      <c r="HUW368" s="357"/>
      <c r="HUX368" s="67"/>
      <c r="HUY368" s="67"/>
      <c r="HVA368" s="357"/>
      <c r="HVB368" s="67"/>
      <c r="HVC368" s="67"/>
      <c r="HVE368" s="357"/>
      <c r="HVF368" s="67"/>
      <c r="HVG368" s="67"/>
      <c r="HVI368" s="357"/>
      <c r="HVJ368" s="67"/>
      <c r="HVK368" s="67"/>
      <c r="HVM368" s="357"/>
      <c r="HVN368" s="67"/>
      <c r="HVO368" s="67"/>
      <c r="HVQ368" s="357"/>
      <c r="HVR368" s="67"/>
      <c r="HVS368" s="67"/>
      <c r="HVU368" s="357"/>
      <c r="HVV368" s="67"/>
      <c r="HVW368" s="67"/>
      <c r="HVY368" s="357"/>
      <c r="HVZ368" s="67"/>
      <c r="HWA368" s="67"/>
      <c r="HWC368" s="357"/>
      <c r="HWD368" s="67"/>
      <c r="HWE368" s="67"/>
      <c r="HWG368" s="357"/>
      <c r="HWH368" s="67"/>
      <c r="HWI368" s="67"/>
      <c r="HWK368" s="357"/>
      <c r="HWL368" s="67"/>
      <c r="HWM368" s="67"/>
      <c r="HWO368" s="357"/>
      <c r="HWP368" s="67"/>
      <c r="HWQ368" s="67"/>
      <c r="HWS368" s="357"/>
      <c r="HWT368" s="67"/>
      <c r="HWU368" s="67"/>
      <c r="HWW368" s="357"/>
      <c r="HWX368" s="67"/>
      <c r="HWY368" s="67"/>
      <c r="HXA368" s="357"/>
      <c r="HXB368" s="67"/>
      <c r="HXC368" s="67"/>
      <c r="HXE368" s="357"/>
      <c r="HXF368" s="67"/>
      <c r="HXG368" s="67"/>
      <c r="HXI368" s="357"/>
      <c r="HXJ368" s="67"/>
      <c r="HXK368" s="67"/>
      <c r="HXM368" s="357"/>
      <c r="HXN368" s="67"/>
      <c r="HXO368" s="67"/>
      <c r="HXQ368" s="357"/>
      <c r="HXR368" s="67"/>
      <c r="HXS368" s="67"/>
      <c r="HXU368" s="357"/>
      <c r="HXV368" s="67"/>
      <c r="HXW368" s="67"/>
      <c r="HXY368" s="357"/>
      <c r="HXZ368" s="67"/>
      <c r="HYA368" s="67"/>
      <c r="HYC368" s="357"/>
      <c r="HYD368" s="67"/>
      <c r="HYE368" s="67"/>
      <c r="HYG368" s="357"/>
      <c r="HYH368" s="67"/>
      <c r="HYI368" s="67"/>
      <c r="HYK368" s="357"/>
      <c r="HYL368" s="67"/>
      <c r="HYM368" s="67"/>
      <c r="HYO368" s="357"/>
      <c r="HYP368" s="67"/>
      <c r="HYQ368" s="67"/>
      <c r="HYS368" s="357"/>
      <c r="HYT368" s="67"/>
      <c r="HYU368" s="67"/>
      <c r="HYW368" s="357"/>
      <c r="HYX368" s="67"/>
      <c r="HYY368" s="67"/>
      <c r="HZA368" s="357"/>
      <c r="HZB368" s="67"/>
      <c r="HZC368" s="67"/>
      <c r="HZE368" s="357"/>
      <c r="HZF368" s="67"/>
      <c r="HZG368" s="67"/>
      <c r="HZI368" s="357"/>
      <c r="HZJ368" s="67"/>
      <c r="HZK368" s="67"/>
      <c r="HZM368" s="357"/>
      <c r="HZN368" s="67"/>
      <c r="HZO368" s="67"/>
      <c r="HZQ368" s="357"/>
      <c r="HZR368" s="67"/>
      <c r="HZS368" s="67"/>
      <c r="HZU368" s="357"/>
      <c r="HZV368" s="67"/>
      <c r="HZW368" s="67"/>
      <c r="HZY368" s="357"/>
      <c r="HZZ368" s="67"/>
      <c r="IAA368" s="67"/>
      <c r="IAC368" s="357"/>
      <c r="IAD368" s="67"/>
      <c r="IAE368" s="67"/>
      <c r="IAG368" s="357"/>
      <c r="IAH368" s="67"/>
      <c r="IAI368" s="67"/>
      <c r="IAK368" s="357"/>
      <c r="IAL368" s="67"/>
      <c r="IAM368" s="67"/>
      <c r="IAO368" s="357"/>
      <c r="IAP368" s="67"/>
      <c r="IAQ368" s="67"/>
      <c r="IAS368" s="357"/>
      <c r="IAT368" s="67"/>
      <c r="IAU368" s="67"/>
      <c r="IAW368" s="357"/>
      <c r="IAX368" s="67"/>
      <c r="IAY368" s="67"/>
      <c r="IBA368" s="357"/>
      <c r="IBB368" s="67"/>
      <c r="IBC368" s="67"/>
      <c r="IBE368" s="357"/>
      <c r="IBF368" s="67"/>
      <c r="IBG368" s="67"/>
      <c r="IBI368" s="357"/>
      <c r="IBJ368" s="67"/>
      <c r="IBK368" s="67"/>
      <c r="IBM368" s="357"/>
      <c r="IBN368" s="67"/>
      <c r="IBO368" s="67"/>
      <c r="IBQ368" s="357"/>
      <c r="IBR368" s="67"/>
      <c r="IBS368" s="67"/>
      <c r="IBU368" s="357"/>
      <c r="IBV368" s="67"/>
      <c r="IBW368" s="67"/>
      <c r="IBY368" s="357"/>
      <c r="IBZ368" s="67"/>
      <c r="ICA368" s="67"/>
      <c r="ICC368" s="357"/>
      <c r="ICD368" s="67"/>
      <c r="ICE368" s="67"/>
      <c r="ICG368" s="357"/>
      <c r="ICH368" s="67"/>
      <c r="ICI368" s="67"/>
      <c r="ICK368" s="357"/>
      <c r="ICL368" s="67"/>
      <c r="ICM368" s="67"/>
      <c r="ICO368" s="357"/>
      <c r="ICP368" s="67"/>
      <c r="ICQ368" s="67"/>
      <c r="ICS368" s="357"/>
      <c r="ICT368" s="67"/>
      <c r="ICU368" s="67"/>
      <c r="ICW368" s="357"/>
      <c r="ICX368" s="67"/>
      <c r="ICY368" s="67"/>
      <c r="IDA368" s="357"/>
      <c r="IDB368" s="67"/>
      <c r="IDC368" s="67"/>
      <c r="IDE368" s="357"/>
      <c r="IDF368" s="67"/>
      <c r="IDG368" s="67"/>
      <c r="IDI368" s="357"/>
      <c r="IDJ368" s="67"/>
      <c r="IDK368" s="67"/>
      <c r="IDM368" s="357"/>
      <c r="IDN368" s="67"/>
      <c r="IDO368" s="67"/>
      <c r="IDQ368" s="357"/>
      <c r="IDR368" s="67"/>
      <c r="IDS368" s="67"/>
      <c r="IDU368" s="357"/>
      <c r="IDV368" s="67"/>
      <c r="IDW368" s="67"/>
      <c r="IDY368" s="357"/>
      <c r="IDZ368" s="67"/>
      <c r="IEA368" s="67"/>
      <c r="IEC368" s="357"/>
      <c r="IED368" s="67"/>
      <c r="IEE368" s="67"/>
      <c r="IEG368" s="357"/>
      <c r="IEH368" s="67"/>
      <c r="IEI368" s="67"/>
      <c r="IEK368" s="357"/>
      <c r="IEL368" s="67"/>
      <c r="IEM368" s="67"/>
      <c r="IEO368" s="357"/>
      <c r="IEP368" s="67"/>
      <c r="IEQ368" s="67"/>
      <c r="IES368" s="357"/>
      <c r="IET368" s="67"/>
      <c r="IEU368" s="67"/>
      <c r="IEW368" s="357"/>
      <c r="IEX368" s="67"/>
      <c r="IEY368" s="67"/>
      <c r="IFA368" s="357"/>
      <c r="IFB368" s="67"/>
      <c r="IFC368" s="67"/>
      <c r="IFE368" s="357"/>
      <c r="IFF368" s="67"/>
      <c r="IFG368" s="67"/>
      <c r="IFI368" s="357"/>
      <c r="IFJ368" s="67"/>
      <c r="IFK368" s="67"/>
      <c r="IFM368" s="357"/>
      <c r="IFN368" s="67"/>
      <c r="IFO368" s="67"/>
      <c r="IFQ368" s="357"/>
      <c r="IFR368" s="67"/>
      <c r="IFS368" s="67"/>
      <c r="IFU368" s="357"/>
      <c r="IFV368" s="67"/>
      <c r="IFW368" s="67"/>
      <c r="IFY368" s="357"/>
      <c r="IFZ368" s="67"/>
      <c r="IGA368" s="67"/>
      <c r="IGC368" s="357"/>
      <c r="IGD368" s="67"/>
      <c r="IGE368" s="67"/>
      <c r="IGG368" s="357"/>
      <c r="IGH368" s="67"/>
      <c r="IGI368" s="67"/>
      <c r="IGK368" s="357"/>
      <c r="IGL368" s="67"/>
      <c r="IGM368" s="67"/>
      <c r="IGO368" s="357"/>
      <c r="IGP368" s="67"/>
      <c r="IGQ368" s="67"/>
      <c r="IGS368" s="357"/>
      <c r="IGT368" s="67"/>
      <c r="IGU368" s="67"/>
      <c r="IGW368" s="357"/>
      <c r="IGX368" s="67"/>
      <c r="IGY368" s="67"/>
      <c r="IHA368" s="357"/>
      <c r="IHB368" s="67"/>
      <c r="IHC368" s="67"/>
      <c r="IHE368" s="357"/>
      <c r="IHF368" s="67"/>
      <c r="IHG368" s="67"/>
      <c r="IHI368" s="357"/>
      <c r="IHJ368" s="67"/>
      <c r="IHK368" s="67"/>
      <c r="IHM368" s="357"/>
      <c r="IHN368" s="67"/>
      <c r="IHO368" s="67"/>
      <c r="IHQ368" s="357"/>
      <c r="IHR368" s="67"/>
      <c r="IHS368" s="67"/>
      <c r="IHU368" s="357"/>
      <c r="IHV368" s="67"/>
      <c r="IHW368" s="67"/>
      <c r="IHY368" s="357"/>
      <c r="IHZ368" s="67"/>
      <c r="IIA368" s="67"/>
      <c r="IIC368" s="357"/>
      <c r="IID368" s="67"/>
      <c r="IIE368" s="67"/>
      <c r="IIG368" s="357"/>
      <c r="IIH368" s="67"/>
      <c r="III368" s="67"/>
      <c r="IIK368" s="357"/>
      <c r="IIL368" s="67"/>
      <c r="IIM368" s="67"/>
      <c r="IIO368" s="357"/>
      <c r="IIP368" s="67"/>
      <c r="IIQ368" s="67"/>
      <c r="IIS368" s="357"/>
      <c r="IIT368" s="67"/>
      <c r="IIU368" s="67"/>
      <c r="IIW368" s="357"/>
      <c r="IIX368" s="67"/>
      <c r="IIY368" s="67"/>
      <c r="IJA368" s="357"/>
      <c r="IJB368" s="67"/>
      <c r="IJC368" s="67"/>
      <c r="IJE368" s="357"/>
      <c r="IJF368" s="67"/>
      <c r="IJG368" s="67"/>
      <c r="IJI368" s="357"/>
      <c r="IJJ368" s="67"/>
      <c r="IJK368" s="67"/>
      <c r="IJM368" s="357"/>
      <c r="IJN368" s="67"/>
      <c r="IJO368" s="67"/>
      <c r="IJQ368" s="357"/>
      <c r="IJR368" s="67"/>
      <c r="IJS368" s="67"/>
      <c r="IJU368" s="357"/>
      <c r="IJV368" s="67"/>
      <c r="IJW368" s="67"/>
      <c r="IJY368" s="357"/>
      <c r="IJZ368" s="67"/>
      <c r="IKA368" s="67"/>
      <c r="IKC368" s="357"/>
      <c r="IKD368" s="67"/>
      <c r="IKE368" s="67"/>
      <c r="IKG368" s="357"/>
      <c r="IKH368" s="67"/>
      <c r="IKI368" s="67"/>
      <c r="IKK368" s="357"/>
      <c r="IKL368" s="67"/>
      <c r="IKM368" s="67"/>
      <c r="IKO368" s="357"/>
      <c r="IKP368" s="67"/>
      <c r="IKQ368" s="67"/>
      <c r="IKS368" s="357"/>
      <c r="IKT368" s="67"/>
      <c r="IKU368" s="67"/>
      <c r="IKW368" s="357"/>
      <c r="IKX368" s="67"/>
      <c r="IKY368" s="67"/>
      <c r="ILA368" s="357"/>
      <c r="ILB368" s="67"/>
      <c r="ILC368" s="67"/>
      <c r="ILE368" s="357"/>
      <c r="ILF368" s="67"/>
      <c r="ILG368" s="67"/>
      <c r="ILI368" s="357"/>
      <c r="ILJ368" s="67"/>
      <c r="ILK368" s="67"/>
      <c r="ILM368" s="357"/>
      <c r="ILN368" s="67"/>
      <c r="ILO368" s="67"/>
      <c r="ILQ368" s="357"/>
      <c r="ILR368" s="67"/>
      <c r="ILS368" s="67"/>
      <c r="ILU368" s="357"/>
      <c r="ILV368" s="67"/>
      <c r="ILW368" s="67"/>
      <c r="ILY368" s="357"/>
      <c r="ILZ368" s="67"/>
      <c r="IMA368" s="67"/>
      <c r="IMC368" s="357"/>
      <c r="IMD368" s="67"/>
      <c r="IME368" s="67"/>
      <c r="IMG368" s="357"/>
      <c r="IMH368" s="67"/>
      <c r="IMI368" s="67"/>
      <c r="IMK368" s="357"/>
      <c r="IML368" s="67"/>
      <c r="IMM368" s="67"/>
      <c r="IMO368" s="357"/>
      <c r="IMP368" s="67"/>
      <c r="IMQ368" s="67"/>
      <c r="IMS368" s="357"/>
      <c r="IMT368" s="67"/>
      <c r="IMU368" s="67"/>
      <c r="IMW368" s="357"/>
      <c r="IMX368" s="67"/>
      <c r="IMY368" s="67"/>
      <c r="INA368" s="357"/>
      <c r="INB368" s="67"/>
      <c r="INC368" s="67"/>
      <c r="INE368" s="357"/>
      <c r="INF368" s="67"/>
      <c r="ING368" s="67"/>
      <c r="INI368" s="357"/>
      <c r="INJ368" s="67"/>
      <c r="INK368" s="67"/>
      <c r="INM368" s="357"/>
      <c r="INN368" s="67"/>
      <c r="INO368" s="67"/>
      <c r="INQ368" s="357"/>
      <c r="INR368" s="67"/>
      <c r="INS368" s="67"/>
      <c r="INU368" s="357"/>
      <c r="INV368" s="67"/>
      <c r="INW368" s="67"/>
      <c r="INY368" s="357"/>
      <c r="INZ368" s="67"/>
      <c r="IOA368" s="67"/>
      <c r="IOC368" s="357"/>
      <c r="IOD368" s="67"/>
      <c r="IOE368" s="67"/>
      <c r="IOG368" s="357"/>
      <c r="IOH368" s="67"/>
      <c r="IOI368" s="67"/>
      <c r="IOK368" s="357"/>
      <c r="IOL368" s="67"/>
      <c r="IOM368" s="67"/>
      <c r="IOO368" s="357"/>
      <c r="IOP368" s="67"/>
      <c r="IOQ368" s="67"/>
      <c r="IOS368" s="357"/>
      <c r="IOT368" s="67"/>
      <c r="IOU368" s="67"/>
      <c r="IOW368" s="357"/>
      <c r="IOX368" s="67"/>
      <c r="IOY368" s="67"/>
      <c r="IPA368" s="357"/>
      <c r="IPB368" s="67"/>
      <c r="IPC368" s="67"/>
      <c r="IPE368" s="357"/>
      <c r="IPF368" s="67"/>
      <c r="IPG368" s="67"/>
      <c r="IPI368" s="357"/>
      <c r="IPJ368" s="67"/>
      <c r="IPK368" s="67"/>
      <c r="IPM368" s="357"/>
      <c r="IPN368" s="67"/>
      <c r="IPO368" s="67"/>
      <c r="IPQ368" s="357"/>
      <c r="IPR368" s="67"/>
      <c r="IPS368" s="67"/>
      <c r="IPU368" s="357"/>
      <c r="IPV368" s="67"/>
      <c r="IPW368" s="67"/>
      <c r="IPY368" s="357"/>
      <c r="IPZ368" s="67"/>
      <c r="IQA368" s="67"/>
      <c r="IQC368" s="357"/>
      <c r="IQD368" s="67"/>
      <c r="IQE368" s="67"/>
      <c r="IQG368" s="357"/>
      <c r="IQH368" s="67"/>
      <c r="IQI368" s="67"/>
      <c r="IQK368" s="357"/>
      <c r="IQL368" s="67"/>
      <c r="IQM368" s="67"/>
      <c r="IQO368" s="357"/>
      <c r="IQP368" s="67"/>
      <c r="IQQ368" s="67"/>
      <c r="IQS368" s="357"/>
      <c r="IQT368" s="67"/>
      <c r="IQU368" s="67"/>
      <c r="IQW368" s="357"/>
      <c r="IQX368" s="67"/>
      <c r="IQY368" s="67"/>
      <c r="IRA368" s="357"/>
      <c r="IRB368" s="67"/>
      <c r="IRC368" s="67"/>
      <c r="IRE368" s="357"/>
      <c r="IRF368" s="67"/>
      <c r="IRG368" s="67"/>
      <c r="IRI368" s="357"/>
      <c r="IRJ368" s="67"/>
      <c r="IRK368" s="67"/>
      <c r="IRM368" s="357"/>
      <c r="IRN368" s="67"/>
      <c r="IRO368" s="67"/>
      <c r="IRQ368" s="357"/>
      <c r="IRR368" s="67"/>
      <c r="IRS368" s="67"/>
      <c r="IRU368" s="357"/>
      <c r="IRV368" s="67"/>
      <c r="IRW368" s="67"/>
      <c r="IRY368" s="357"/>
      <c r="IRZ368" s="67"/>
      <c r="ISA368" s="67"/>
      <c r="ISC368" s="357"/>
      <c r="ISD368" s="67"/>
      <c r="ISE368" s="67"/>
      <c r="ISG368" s="357"/>
      <c r="ISH368" s="67"/>
      <c r="ISI368" s="67"/>
      <c r="ISK368" s="357"/>
      <c r="ISL368" s="67"/>
      <c r="ISM368" s="67"/>
      <c r="ISO368" s="357"/>
      <c r="ISP368" s="67"/>
      <c r="ISQ368" s="67"/>
      <c r="ISS368" s="357"/>
      <c r="IST368" s="67"/>
      <c r="ISU368" s="67"/>
      <c r="ISW368" s="357"/>
      <c r="ISX368" s="67"/>
      <c r="ISY368" s="67"/>
      <c r="ITA368" s="357"/>
      <c r="ITB368" s="67"/>
      <c r="ITC368" s="67"/>
      <c r="ITE368" s="357"/>
      <c r="ITF368" s="67"/>
      <c r="ITG368" s="67"/>
      <c r="ITI368" s="357"/>
      <c r="ITJ368" s="67"/>
      <c r="ITK368" s="67"/>
      <c r="ITM368" s="357"/>
      <c r="ITN368" s="67"/>
      <c r="ITO368" s="67"/>
      <c r="ITQ368" s="357"/>
      <c r="ITR368" s="67"/>
      <c r="ITS368" s="67"/>
      <c r="ITU368" s="357"/>
      <c r="ITV368" s="67"/>
      <c r="ITW368" s="67"/>
      <c r="ITY368" s="357"/>
      <c r="ITZ368" s="67"/>
      <c r="IUA368" s="67"/>
      <c r="IUC368" s="357"/>
      <c r="IUD368" s="67"/>
      <c r="IUE368" s="67"/>
      <c r="IUG368" s="357"/>
      <c r="IUH368" s="67"/>
      <c r="IUI368" s="67"/>
      <c r="IUK368" s="357"/>
      <c r="IUL368" s="67"/>
      <c r="IUM368" s="67"/>
      <c r="IUO368" s="357"/>
      <c r="IUP368" s="67"/>
      <c r="IUQ368" s="67"/>
      <c r="IUS368" s="357"/>
      <c r="IUT368" s="67"/>
      <c r="IUU368" s="67"/>
      <c r="IUW368" s="357"/>
      <c r="IUX368" s="67"/>
      <c r="IUY368" s="67"/>
      <c r="IVA368" s="357"/>
      <c r="IVB368" s="67"/>
      <c r="IVC368" s="67"/>
      <c r="IVE368" s="357"/>
      <c r="IVF368" s="67"/>
      <c r="IVG368" s="67"/>
      <c r="IVI368" s="357"/>
      <c r="IVJ368" s="67"/>
      <c r="IVK368" s="67"/>
      <c r="IVM368" s="357"/>
      <c r="IVN368" s="67"/>
      <c r="IVO368" s="67"/>
      <c r="IVQ368" s="357"/>
      <c r="IVR368" s="67"/>
      <c r="IVS368" s="67"/>
      <c r="IVU368" s="357"/>
      <c r="IVV368" s="67"/>
      <c r="IVW368" s="67"/>
      <c r="IVY368" s="357"/>
      <c r="IVZ368" s="67"/>
      <c r="IWA368" s="67"/>
      <c r="IWC368" s="357"/>
      <c r="IWD368" s="67"/>
      <c r="IWE368" s="67"/>
      <c r="IWG368" s="357"/>
      <c r="IWH368" s="67"/>
      <c r="IWI368" s="67"/>
      <c r="IWK368" s="357"/>
      <c r="IWL368" s="67"/>
      <c r="IWM368" s="67"/>
      <c r="IWO368" s="357"/>
      <c r="IWP368" s="67"/>
      <c r="IWQ368" s="67"/>
      <c r="IWS368" s="357"/>
      <c r="IWT368" s="67"/>
      <c r="IWU368" s="67"/>
      <c r="IWW368" s="357"/>
      <c r="IWX368" s="67"/>
      <c r="IWY368" s="67"/>
      <c r="IXA368" s="357"/>
      <c r="IXB368" s="67"/>
      <c r="IXC368" s="67"/>
      <c r="IXE368" s="357"/>
      <c r="IXF368" s="67"/>
      <c r="IXG368" s="67"/>
      <c r="IXI368" s="357"/>
      <c r="IXJ368" s="67"/>
      <c r="IXK368" s="67"/>
      <c r="IXM368" s="357"/>
      <c r="IXN368" s="67"/>
      <c r="IXO368" s="67"/>
      <c r="IXQ368" s="357"/>
      <c r="IXR368" s="67"/>
      <c r="IXS368" s="67"/>
      <c r="IXU368" s="357"/>
      <c r="IXV368" s="67"/>
      <c r="IXW368" s="67"/>
      <c r="IXY368" s="357"/>
      <c r="IXZ368" s="67"/>
      <c r="IYA368" s="67"/>
      <c r="IYC368" s="357"/>
      <c r="IYD368" s="67"/>
      <c r="IYE368" s="67"/>
      <c r="IYG368" s="357"/>
      <c r="IYH368" s="67"/>
      <c r="IYI368" s="67"/>
      <c r="IYK368" s="357"/>
      <c r="IYL368" s="67"/>
      <c r="IYM368" s="67"/>
      <c r="IYO368" s="357"/>
      <c r="IYP368" s="67"/>
      <c r="IYQ368" s="67"/>
      <c r="IYS368" s="357"/>
      <c r="IYT368" s="67"/>
      <c r="IYU368" s="67"/>
      <c r="IYW368" s="357"/>
      <c r="IYX368" s="67"/>
      <c r="IYY368" s="67"/>
      <c r="IZA368" s="357"/>
      <c r="IZB368" s="67"/>
      <c r="IZC368" s="67"/>
      <c r="IZE368" s="357"/>
      <c r="IZF368" s="67"/>
      <c r="IZG368" s="67"/>
      <c r="IZI368" s="357"/>
      <c r="IZJ368" s="67"/>
      <c r="IZK368" s="67"/>
      <c r="IZM368" s="357"/>
      <c r="IZN368" s="67"/>
      <c r="IZO368" s="67"/>
      <c r="IZQ368" s="357"/>
      <c r="IZR368" s="67"/>
      <c r="IZS368" s="67"/>
      <c r="IZU368" s="357"/>
      <c r="IZV368" s="67"/>
      <c r="IZW368" s="67"/>
      <c r="IZY368" s="357"/>
      <c r="IZZ368" s="67"/>
      <c r="JAA368" s="67"/>
      <c r="JAC368" s="357"/>
      <c r="JAD368" s="67"/>
      <c r="JAE368" s="67"/>
      <c r="JAG368" s="357"/>
      <c r="JAH368" s="67"/>
      <c r="JAI368" s="67"/>
      <c r="JAK368" s="357"/>
      <c r="JAL368" s="67"/>
      <c r="JAM368" s="67"/>
      <c r="JAO368" s="357"/>
      <c r="JAP368" s="67"/>
      <c r="JAQ368" s="67"/>
      <c r="JAS368" s="357"/>
      <c r="JAT368" s="67"/>
      <c r="JAU368" s="67"/>
      <c r="JAW368" s="357"/>
      <c r="JAX368" s="67"/>
      <c r="JAY368" s="67"/>
      <c r="JBA368" s="357"/>
      <c r="JBB368" s="67"/>
      <c r="JBC368" s="67"/>
      <c r="JBE368" s="357"/>
      <c r="JBF368" s="67"/>
      <c r="JBG368" s="67"/>
      <c r="JBI368" s="357"/>
      <c r="JBJ368" s="67"/>
      <c r="JBK368" s="67"/>
      <c r="JBM368" s="357"/>
      <c r="JBN368" s="67"/>
      <c r="JBO368" s="67"/>
      <c r="JBQ368" s="357"/>
      <c r="JBR368" s="67"/>
      <c r="JBS368" s="67"/>
      <c r="JBU368" s="357"/>
      <c r="JBV368" s="67"/>
      <c r="JBW368" s="67"/>
      <c r="JBY368" s="357"/>
      <c r="JBZ368" s="67"/>
      <c r="JCA368" s="67"/>
      <c r="JCC368" s="357"/>
      <c r="JCD368" s="67"/>
      <c r="JCE368" s="67"/>
      <c r="JCG368" s="357"/>
      <c r="JCH368" s="67"/>
      <c r="JCI368" s="67"/>
      <c r="JCK368" s="357"/>
      <c r="JCL368" s="67"/>
      <c r="JCM368" s="67"/>
      <c r="JCO368" s="357"/>
      <c r="JCP368" s="67"/>
      <c r="JCQ368" s="67"/>
      <c r="JCS368" s="357"/>
      <c r="JCT368" s="67"/>
      <c r="JCU368" s="67"/>
      <c r="JCW368" s="357"/>
      <c r="JCX368" s="67"/>
      <c r="JCY368" s="67"/>
      <c r="JDA368" s="357"/>
      <c r="JDB368" s="67"/>
      <c r="JDC368" s="67"/>
      <c r="JDE368" s="357"/>
      <c r="JDF368" s="67"/>
      <c r="JDG368" s="67"/>
      <c r="JDI368" s="357"/>
      <c r="JDJ368" s="67"/>
      <c r="JDK368" s="67"/>
      <c r="JDM368" s="357"/>
      <c r="JDN368" s="67"/>
      <c r="JDO368" s="67"/>
      <c r="JDQ368" s="357"/>
      <c r="JDR368" s="67"/>
      <c r="JDS368" s="67"/>
      <c r="JDU368" s="357"/>
      <c r="JDV368" s="67"/>
      <c r="JDW368" s="67"/>
      <c r="JDY368" s="357"/>
      <c r="JDZ368" s="67"/>
      <c r="JEA368" s="67"/>
      <c r="JEC368" s="357"/>
      <c r="JED368" s="67"/>
      <c r="JEE368" s="67"/>
      <c r="JEG368" s="357"/>
      <c r="JEH368" s="67"/>
      <c r="JEI368" s="67"/>
      <c r="JEK368" s="357"/>
      <c r="JEL368" s="67"/>
      <c r="JEM368" s="67"/>
      <c r="JEO368" s="357"/>
      <c r="JEP368" s="67"/>
      <c r="JEQ368" s="67"/>
      <c r="JES368" s="357"/>
      <c r="JET368" s="67"/>
      <c r="JEU368" s="67"/>
      <c r="JEW368" s="357"/>
      <c r="JEX368" s="67"/>
      <c r="JEY368" s="67"/>
      <c r="JFA368" s="357"/>
      <c r="JFB368" s="67"/>
      <c r="JFC368" s="67"/>
      <c r="JFE368" s="357"/>
      <c r="JFF368" s="67"/>
      <c r="JFG368" s="67"/>
      <c r="JFI368" s="357"/>
      <c r="JFJ368" s="67"/>
      <c r="JFK368" s="67"/>
      <c r="JFM368" s="357"/>
      <c r="JFN368" s="67"/>
      <c r="JFO368" s="67"/>
      <c r="JFQ368" s="357"/>
      <c r="JFR368" s="67"/>
      <c r="JFS368" s="67"/>
      <c r="JFU368" s="357"/>
      <c r="JFV368" s="67"/>
      <c r="JFW368" s="67"/>
      <c r="JFY368" s="357"/>
      <c r="JFZ368" s="67"/>
      <c r="JGA368" s="67"/>
      <c r="JGC368" s="357"/>
      <c r="JGD368" s="67"/>
      <c r="JGE368" s="67"/>
      <c r="JGG368" s="357"/>
      <c r="JGH368" s="67"/>
      <c r="JGI368" s="67"/>
      <c r="JGK368" s="357"/>
      <c r="JGL368" s="67"/>
      <c r="JGM368" s="67"/>
      <c r="JGO368" s="357"/>
      <c r="JGP368" s="67"/>
      <c r="JGQ368" s="67"/>
      <c r="JGS368" s="357"/>
      <c r="JGT368" s="67"/>
      <c r="JGU368" s="67"/>
      <c r="JGW368" s="357"/>
      <c r="JGX368" s="67"/>
      <c r="JGY368" s="67"/>
      <c r="JHA368" s="357"/>
      <c r="JHB368" s="67"/>
      <c r="JHC368" s="67"/>
      <c r="JHE368" s="357"/>
      <c r="JHF368" s="67"/>
      <c r="JHG368" s="67"/>
      <c r="JHI368" s="357"/>
      <c r="JHJ368" s="67"/>
      <c r="JHK368" s="67"/>
      <c r="JHM368" s="357"/>
      <c r="JHN368" s="67"/>
      <c r="JHO368" s="67"/>
      <c r="JHQ368" s="357"/>
      <c r="JHR368" s="67"/>
      <c r="JHS368" s="67"/>
      <c r="JHU368" s="357"/>
      <c r="JHV368" s="67"/>
      <c r="JHW368" s="67"/>
      <c r="JHY368" s="357"/>
      <c r="JHZ368" s="67"/>
      <c r="JIA368" s="67"/>
      <c r="JIC368" s="357"/>
      <c r="JID368" s="67"/>
      <c r="JIE368" s="67"/>
      <c r="JIG368" s="357"/>
      <c r="JIH368" s="67"/>
      <c r="JII368" s="67"/>
      <c r="JIK368" s="357"/>
      <c r="JIL368" s="67"/>
      <c r="JIM368" s="67"/>
      <c r="JIO368" s="357"/>
      <c r="JIP368" s="67"/>
      <c r="JIQ368" s="67"/>
      <c r="JIS368" s="357"/>
      <c r="JIT368" s="67"/>
      <c r="JIU368" s="67"/>
      <c r="JIW368" s="357"/>
      <c r="JIX368" s="67"/>
      <c r="JIY368" s="67"/>
      <c r="JJA368" s="357"/>
      <c r="JJB368" s="67"/>
      <c r="JJC368" s="67"/>
      <c r="JJE368" s="357"/>
      <c r="JJF368" s="67"/>
      <c r="JJG368" s="67"/>
      <c r="JJI368" s="357"/>
      <c r="JJJ368" s="67"/>
      <c r="JJK368" s="67"/>
      <c r="JJM368" s="357"/>
      <c r="JJN368" s="67"/>
      <c r="JJO368" s="67"/>
      <c r="JJQ368" s="357"/>
      <c r="JJR368" s="67"/>
      <c r="JJS368" s="67"/>
      <c r="JJU368" s="357"/>
      <c r="JJV368" s="67"/>
      <c r="JJW368" s="67"/>
      <c r="JJY368" s="357"/>
      <c r="JJZ368" s="67"/>
      <c r="JKA368" s="67"/>
      <c r="JKC368" s="357"/>
      <c r="JKD368" s="67"/>
      <c r="JKE368" s="67"/>
      <c r="JKG368" s="357"/>
      <c r="JKH368" s="67"/>
      <c r="JKI368" s="67"/>
      <c r="JKK368" s="357"/>
      <c r="JKL368" s="67"/>
      <c r="JKM368" s="67"/>
      <c r="JKO368" s="357"/>
      <c r="JKP368" s="67"/>
      <c r="JKQ368" s="67"/>
      <c r="JKS368" s="357"/>
      <c r="JKT368" s="67"/>
      <c r="JKU368" s="67"/>
      <c r="JKW368" s="357"/>
      <c r="JKX368" s="67"/>
      <c r="JKY368" s="67"/>
      <c r="JLA368" s="357"/>
      <c r="JLB368" s="67"/>
      <c r="JLC368" s="67"/>
      <c r="JLE368" s="357"/>
      <c r="JLF368" s="67"/>
      <c r="JLG368" s="67"/>
      <c r="JLI368" s="357"/>
      <c r="JLJ368" s="67"/>
      <c r="JLK368" s="67"/>
      <c r="JLM368" s="357"/>
      <c r="JLN368" s="67"/>
      <c r="JLO368" s="67"/>
      <c r="JLQ368" s="357"/>
      <c r="JLR368" s="67"/>
      <c r="JLS368" s="67"/>
      <c r="JLU368" s="357"/>
      <c r="JLV368" s="67"/>
      <c r="JLW368" s="67"/>
      <c r="JLY368" s="357"/>
      <c r="JLZ368" s="67"/>
      <c r="JMA368" s="67"/>
      <c r="JMC368" s="357"/>
      <c r="JMD368" s="67"/>
      <c r="JME368" s="67"/>
      <c r="JMG368" s="357"/>
      <c r="JMH368" s="67"/>
      <c r="JMI368" s="67"/>
      <c r="JMK368" s="357"/>
      <c r="JML368" s="67"/>
      <c r="JMM368" s="67"/>
      <c r="JMO368" s="357"/>
      <c r="JMP368" s="67"/>
      <c r="JMQ368" s="67"/>
      <c r="JMS368" s="357"/>
      <c r="JMT368" s="67"/>
      <c r="JMU368" s="67"/>
      <c r="JMW368" s="357"/>
      <c r="JMX368" s="67"/>
      <c r="JMY368" s="67"/>
      <c r="JNA368" s="357"/>
      <c r="JNB368" s="67"/>
      <c r="JNC368" s="67"/>
      <c r="JNE368" s="357"/>
      <c r="JNF368" s="67"/>
      <c r="JNG368" s="67"/>
      <c r="JNI368" s="357"/>
      <c r="JNJ368" s="67"/>
      <c r="JNK368" s="67"/>
      <c r="JNM368" s="357"/>
      <c r="JNN368" s="67"/>
      <c r="JNO368" s="67"/>
      <c r="JNQ368" s="357"/>
      <c r="JNR368" s="67"/>
      <c r="JNS368" s="67"/>
      <c r="JNU368" s="357"/>
      <c r="JNV368" s="67"/>
      <c r="JNW368" s="67"/>
      <c r="JNY368" s="357"/>
      <c r="JNZ368" s="67"/>
      <c r="JOA368" s="67"/>
      <c r="JOC368" s="357"/>
      <c r="JOD368" s="67"/>
      <c r="JOE368" s="67"/>
      <c r="JOG368" s="357"/>
      <c r="JOH368" s="67"/>
      <c r="JOI368" s="67"/>
      <c r="JOK368" s="357"/>
      <c r="JOL368" s="67"/>
      <c r="JOM368" s="67"/>
      <c r="JOO368" s="357"/>
      <c r="JOP368" s="67"/>
      <c r="JOQ368" s="67"/>
      <c r="JOS368" s="357"/>
      <c r="JOT368" s="67"/>
      <c r="JOU368" s="67"/>
      <c r="JOW368" s="357"/>
      <c r="JOX368" s="67"/>
      <c r="JOY368" s="67"/>
      <c r="JPA368" s="357"/>
      <c r="JPB368" s="67"/>
      <c r="JPC368" s="67"/>
      <c r="JPE368" s="357"/>
      <c r="JPF368" s="67"/>
      <c r="JPG368" s="67"/>
      <c r="JPI368" s="357"/>
      <c r="JPJ368" s="67"/>
      <c r="JPK368" s="67"/>
      <c r="JPM368" s="357"/>
      <c r="JPN368" s="67"/>
      <c r="JPO368" s="67"/>
      <c r="JPQ368" s="357"/>
      <c r="JPR368" s="67"/>
      <c r="JPS368" s="67"/>
      <c r="JPU368" s="357"/>
      <c r="JPV368" s="67"/>
      <c r="JPW368" s="67"/>
      <c r="JPY368" s="357"/>
      <c r="JPZ368" s="67"/>
      <c r="JQA368" s="67"/>
      <c r="JQC368" s="357"/>
      <c r="JQD368" s="67"/>
      <c r="JQE368" s="67"/>
      <c r="JQG368" s="357"/>
      <c r="JQH368" s="67"/>
      <c r="JQI368" s="67"/>
      <c r="JQK368" s="357"/>
      <c r="JQL368" s="67"/>
      <c r="JQM368" s="67"/>
      <c r="JQO368" s="357"/>
      <c r="JQP368" s="67"/>
      <c r="JQQ368" s="67"/>
      <c r="JQS368" s="357"/>
      <c r="JQT368" s="67"/>
      <c r="JQU368" s="67"/>
      <c r="JQW368" s="357"/>
      <c r="JQX368" s="67"/>
      <c r="JQY368" s="67"/>
      <c r="JRA368" s="357"/>
      <c r="JRB368" s="67"/>
      <c r="JRC368" s="67"/>
      <c r="JRE368" s="357"/>
      <c r="JRF368" s="67"/>
      <c r="JRG368" s="67"/>
      <c r="JRI368" s="357"/>
      <c r="JRJ368" s="67"/>
      <c r="JRK368" s="67"/>
      <c r="JRM368" s="357"/>
      <c r="JRN368" s="67"/>
      <c r="JRO368" s="67"/>
      <c r="JRQ368" s="357"/>
      <c r="JRR368" s="67"/>
      <c r="JRS368" s="67"/>
      <c r="JRU368" s="357"/>
      <c r="JRV368" s="67"/>
      <c r="JRW368" s="67"/>
      <c r="JRY368" s="357"/>
      <c r="JRZ368" s="67"/>
      <c r="JSA368" s="67"/>
      <c r="JSC368" s="357"/>
      <c r="JSD368" s="67"/>
      <c r="JSE368" s="67"/>
      <c r="JSG368" s="357"/>
      <c r="JSH368" s="67"/>
      <c r="JSI368" s="67"/>
      <c r="JSK368" s="357"/>
      <c r="JSL368" s="67"/>
      <c r="JSM368" s="67"/>
      <c r="JSO368" s="357"/>
      <c r="JSP368" s="67"/>
      <c r="JSQ368" s="67"/>
      <c r="JSS368" s="357"/>
      <c r="JST368" s="67"/>
      <c r="JSU368" s="67"/>
      <c r="JSW368" s="357"/>
      <c r="JSX368" s="67"/>
      <c r="JSY368" s="67"/>
      <c r="JTA368" s="357"/>
      <c r="JTB368" s="67"/>
      <c r="JTC368" s="67"/>
      <c r="JTE368" s="357"/>
      <c r="JTF368" s="67"/>
      <c r="JTG368" s="67"/>
      <c r="JTI368" s="357"/>
      <c r="JTJ368" s="67"/>
      <c r="JTK368" s="67"/>
      <c r="JTM368" s="357"/>
      <c r="JTN368" s="67"/>
      <c r="JTO368" s="67"/>
      <c r="JTQ368" s="357"/>
      <c r="JTR368" s="67"/>
      <c r="JTS368" s="67"/>
      <c r="JTU368" s="357"/>
      <c r="JTV368" s="67"/>
      <c r="JTW368" s="67"/>
      <c r="JTY368" s="357"/>
      <c r="JTZ368" s="67"/>
      <c r="JUA368" s="67"/>
      <c r="JUC368" s="357"/>
      <c r="JUD368" s="67"/>
      <c r="JUE368" s="67"/>
      <c r="JUG368" s="357"/>
      <c r="JUH368" s="67"/>
      <c r="JUI368" s="67"/>
      <c r="JUK368" s="357"/>
      <c r="JUL368" s="67"/>
      <c r="JUM368" s="67"/>
      <c r="JUO368" s="357"/>
      <c r="JUP368" s="67"/>
      <c r="JUQ368" s="67"/>
      <c r="JUS368" s="357"/>
      <c r="JUT368" s="67"/>
      <c r="JUU368" s="67"/>
      <c r="JUW368" s="357"/>
      <c r="JUX368" s="67"/>
      <c r="JUY368" s="67"/>
      <c r="JVA368" s="357"/>
      <c r="JVB368" s="67"/>
      <c r="JVC368" s="67"/>
      <c r="JVE368" s="357"/>
      <c r="JVF368" s="67"/>
      <c r="JVG368" s="67"/>
      <c r="JVI368" s="357"/>
      <c r="JVJ368" s="67"/>
      <c r="JVK368" s="67"/>
      <c r="JVM368" s="357"/>
      <c r="JVN368" s="67"/>
      <c r="JVO368" s="67"/>
      <c r="JVQ368" s="357"/>
      <c r="JVR368" s="67"/>
      <c r="JVS368" s="67"/>
      <c r="JVU368" s="357"/>
      <c r="JVV368" s="67"/>
      <c r="JVW368" s="67"/>
      <c r="JVY368" s="357"/>
      <c r="JVZ368" s="67"/>
      <c r="JWA368" s="67"/>
      <c r="JWC368" s="357"/>
      <c r="JWD368" s="67"/>
      <c r="JWE368" s="67"/>
      <c r="JWG368" s="357"/>
      <c r="JWH368" s="67"/>
      <c r="JWI368" s="67"/>
      <c r="JWK368" s="357"/>
      <c r="JWL368" s="67"/>
      <c r="JWM368" s="67"/>
      <c r="JWO368" s="357"/>
      <c r="JWP368" s="67"/>
      <c r="JWQ368" s="67"/>
      <c r="JWS368" s="357"/>
      <c r="JWT368" s="67"/>
      <c r="JWU368" s="67"/>
      <c r="JWW368" s="357"/>
      <c r="JWX368" s="67"/>
      <c r="JWY368" s="67"/>
      <c r="JXA368" s="357"/>
      <c r="JXB368" s="67"/>
      <c r="JXC368" s="67"/>
      <c r="JXE368" s="357"/>
      <c r="JXF368" s="67"/>
      <c r="JXG368" s="67"/>
      <c r="JXI368" s="357"/>
      <c r="JXJ368" s="67"/>
      <c r="JXK368" s="67"/>
      <c r="JXM368" s="357"/>
      <c r="JXN368" s="67"/>
      <c r="JXO368" s="67"/>
      <c r="JXQ368" s="357"/>
      <c r="JXR368" s="67"/>
      <c r="JXS368" s="67"/>
      <c r="JXU368" s="357"/>
      <c r="JXV368" s="67"/>
      <c r="JXW368" s="67"/>
      <c r="JXY368" s="357"/>
      <c r="JXZ368" s="67"/>
      <c r="JYA368" s="67"/>
      <c r="JYC368" s="357"/>
      <c r="JYD368" s="67"/>
      <c r="JYE368" s="67"/>
      <c r="JYG368" s="357"/>
      <c r="JYH368" s="67"/>
      <c r="JYI368" s="67"/>
      <c r="JYK368" s="357"/>
      <c r="JYL368" s="67"/>
      <c r="JYM368" s="67"/>
      <c r="JYO368" s="357"/>
      <c r="JYP368" s="67"/>
      <c r="JYQ368" s="67"/>
      <c r="JYS368" s="357"/>
      <c r="JYT368" s="67"/>
      <c r="JYU368" s="67"/>
      <c r="JYW368" s="357"/>
      <c r="JYX368" s="67"/>
      <c r="JYY368" s="67"/>
      <c r="JZA368" s="357"/>
      <c r="JZB368" s="67"/>
      <c r="JZC368" s="67"/>
      <c r="JZE368" s="357"/>
      <c r="JZF368" s="67"/>
      <c r="JZG368" s="67"/>
      <c r="JZI368" s="357"/>
      <c r="JZJ368" s="67"/>
      <c r="JZK368" s="67"/>
      <c r="JZM368" s="357"/>
      <c r="JZN368" s="67"/>
      <c r="JZO368" s="67"/>
      <c r="JZQ368" s="357"/>
      <c r="JZR368" s="67"/>
      <c r="JZS368" s="67"/>
      <c r="JZU368" s="357"/>
      <c r="JZV368" s="67"/>
      <c r="JZW368" s="67"/>
      <c r="JZY368" s="357"/>
      <c r="JZZ368" s="67"/>
      <c r="KAA368" s="67"/>
      <c r="KAC368" s="357"/>
      <c r="KAD368" s="67"/>
      <c r="KAE368" s="67"/>
      <c r="KAG368" s="357"/>
      <c r="KAH368" s="67"/>
      <c r="KAI368" s="67"/>
      <c r="KAK368" s="357"/>
      <c r="KAL368" s="67"/>
      <c r="KAM368" s="67"/>
      <c r="KAO368" s="357"/>
      <c r="KAP368" s="67"/>
      <c r="KAQ368" s="67"/>
      <c r="KAS368" s="357"/>
      <c r="KAT368" s="67"/>
      <c r="KAU368" s="67"/>
      <c r="KAW368" s="357"/>
      <c r="KAX368" s="67"/>
      <c r="KAY368" s="67"/>
      <c r="KBA368" s="357"/>
      <c r="KBB368" s="67"/>
      <c r="KBC368" s="67"/>
      <c r="KBE368" s="357"/>
      <c r="KBF368" s="67"/>
      <c r="KBG368" s="67"/>
      <c r="KBI368" s="357"/>
      <c r="KBJ368" s="67"/>
      <c r="KBK368" s="67"/>
      <c r="KBM368" s="357"/>
      <c r="KBN368" s="67"/>
      <c r="KBO368" s="67"/>
      <c r="KBQ368" s="357"/>
      <c r="KBR368" s="67"/>
      <c r="KBS368" s="67"/>
      <c r="KBU368" s="357"/>
      <c r="KBV368" s="67"/>
      <c r="KBW368" s="67"/>
      <c r="KBY368" s="357"/>
      <c r="KBZ368" s="67"/>
      <c r="KCA368" s="67"/>
      <c r="KCC368" s="357"/>
      <c r="KCD368" s="67"/>
      <c r="KCE368" s="67"/>
      <c r="KCG368" s="357"/>
      <c r="KCH368" s="67"/>
      <c r="KCI368" s="67"/>
      <c r="KCK368" s="357"/>
      <c r="KCL368" s="67"/>
      <c r="KCM368" s="67"/>
      <c r="KCO368" s="357"/>
      <c r="KCP368" s="67"/>
      <c r="KCQ368" s="67"/>
      <c r="KCS368" s="357"/>
      <c r="KCT368" s="67"/>
      <c r="KCU368" s="67"/>
      <c r="KCW368" s="357"/>
      <c r="KCX368" s="67"/>
      <c r="KCY368" s="67"/>
      <c r="KDA368" s="357"/>
      <c r="KDB368" s="67"/>
      <c r="KDC368" s="67"/>
      <c r="KDE368" s="357"/>
      <c r="KDF368" s="67"/>
      <c r="KDG368" s="67"/>
      <c r="KDI368" s="357"/>
      <c r="KDJ368" s="67"/>
      <c r="KDK368" s="67"/>
      <c r="KDM368" s="357"/>
      <c r="KDN368" s="67"/>
      <c r="KDO368" s="67"/>
      <c r="KDQ368" s="357"/>
      <c r="KDR368" s="67"/>
      <c r="KDS368" s="67"/>
      <c r="KDU368" s="357"/>
      <c r="KDV368" s="67"/>
      <c r="KDW368" s="67"/>
      <c r="KDY368" s="357"/>
      <c r="KDZ368" s="67"/>
      <c r="KEA368" s="67"/>
      <c r="KEC368" s="357"/>
      <c r="KED368" s="67"/>
      <c r="KEE368" s="67"/>
      <c r="KEG368" s="357"/>
      <c r="KEH368" s="67"/>
      <c r="KEI368" s="67"/>
      <c r="KEK368" s="357"/>
      <c r="KEL368" s="67"/>
      <c r="KEM368" s="67"/>
      <c r="KEO368" s="357"/>
      <c r="KEP368" s="67"/>
      <c r="KEQ368" s="67"/>
      <c r="KES368" s="357"/>
      <c r="KET368" s="67"/>
      <c r="KEU368" s="67"/>
      <c r="KEW368" s="357"/>
      <c r="KEX368" s="67"/>
      <c r="KEY368" s="67"/>
      <c r="KFA368" s="357"/>
      <c r="KFB368" s="67"/>
      <c r="KFC368" s="67"/>
      <c r="KFE368" s="357"/>
      <c r="KFF368" s="67"/>
      <c r="KFG368" s="67"/>
      <c r="KFI368" s="357"/>
      <c r="KFJ368" s="67"/>
      <c r="KFK368" s="67"/>
      <c r="KFM368" s="357"/>
      <c r="KFN368" s="67"/>
      <c r="KFO368" s="67"/>
      <c r="KFQ368" s="357"/>
      <c r="KFR368" s="67"/>
      <c r="KFS368" s="67"/>
      <c r="KFU368" s="357"/>
      <c r="KFV368" s="67"/>
      <c r="KFW368" s="67"/>
      <c r="KFY368" s="357"/>
      <c r="KFZ368" s="67"/>
      <c r="KGA368" s="67"/>
      <c r="KGC368" s="357"/>
      <c r="KGD368" s="67"/>
      <c r="KGE368" s="67"/>
      <c r="KGG368" s="357"/>
      <c r="KGH368" s="67"/>
      <c r="KGI368" s="67"/>
      <c r="KGK368" s="357"/>
      <c r="KGL368" s="67"/>
      <c r="KGM368" s="67"/>
      <c r="KGO368" s="357"/>
      <c r="KGP368" s="67"/>
      <c r="KGQ368" s="67"/>
      <c r="KGS368" s="357"/>
      <c r="KGT368" s="67"/>
      <c r="KGU368" s="67"/>
      <c r="KGW368" s="357"/>
      <c r="KGX368" s="67"/>
      <c r="KGY368" s="67"/>
      <c r="KHA368" s="357"/>
      <c r="KHB368" s="67"/>
      <c r="KHC368" s="67"/>
      <c r="KHE368" s="357"/>
      <c r="KHF368" s="67"/>
      <c r="KHG368" s="67"/>
      <c r="KHI368" s="357"/>
      <c r="KHJ368" s="67"/>
      <c r="KHK368" s="67"/>
      <c r="KHM368" s="357"/>
      <c r="KHN368" s="67"/>
      <c r="KHO368" s="67"/>
      <c r="KHQ368" s="357"/>
      <c r="KHR368" s="67"/>
      <c r="KHS368" s="67"/>
      <c r="KHU368" s="357"/>
      <c r="KHV368" s="67"/>
      <c r="KHW368" s="67"/>
      <c r="KHY368" s="357"/>
      <c r="KHZ368" s="67"/>
      <c r="KIA368" s="67"/>
      <c r="KIC368" s="357"/>
      <c r="KID368" s="67"/>
      <c r="KIE368" s="67"/>
      <c r="KIG368" s="357"/>
      <c r="KIH368" s="67"/>
      <c r="KII368" s="67"/>
      <c r="KIK368" s="357"/>
      <c r="KIL368" s="67"/>
      <c r="KIM368" s="67"/>
      <c r="KIO368" s="357"/>
      <c r="KIP368" s="67"/>
      <c r="KIQ368" s="67"/>
      <c r="KIS368" s="357"/>
      <c r="KIT368" s="67"/>
      <c r="KIU368" s="67"/>
      <c r="KIW368" s="357"/>
      <c r="KIX368" s="67"/>
      <c r="KIY368" s="67"/>
      <c r="KJA368" s="357"/>
      <c r="KJB368" s="67"/>
      <c r="KJC368" s="67"/>
      <c r="KJE368" s="357"/>
      <c r="KJF368" s="67"/>
      <c r="KJG368" s="67"/>
      <c r="KJI368" s="357"/>
      <c r="KJJ368" s="67"/>
      <c r="KJK368" s="67"/>
      <c r="KJM368" s="357"/>
      <c r="KJN368" s="67"/>
      <c r="KJO368" s="67"/>
      <c r="KJQ368" s="357"/>
      <c r="KJR368" s="67"/>
      <c r="KJS368" s="67"/>
      <c r="KJU368" s="357"/>
      <c r="KJV368" s="67"/>
      <c r="KJW368" s="67"/>
      <c r="KJY368" s="357"/>
      <c r="KJZ368" s="67"/>
      <c r="KKA368" s="67"/>
      <c r="KKC368" s="357"/>
      <c r="KKD368" s="67"/>
      <c r="KKE368" s="67"/>
      <c r="KKG368" s="357"/>
      <c r="KKH368" s="67"/>
      <c r="KKI368" s="67"/>
      <c r="KKK368" s="357"/>
      <c r="KKL368" s="67"/>
      <c r="KKM368" s="67"/>
      <c r="KKO368" s="357"/>
      <c r="KKP368" s="67"/>
      <c r="KKQ368" s="67"/>
      <c r="KKS368" s="357"/>
      <c r="KKT368" s="67"/>
      <c r="KKU368" s="67"/>
      <c r="KKW368" s="357"/>
      <c r="KKX368" s="67"/>
      <c r="KKY368" s="67"/>
      <c r="KLA368" s="357"/>
      <c r="KLB368" s="67"/>
      <c r="KLC368" s="67"/>
      <c r="KLE368" s="357"/>
      <c r="KLF368" s="67"/>
      <c r="KLG368" s="67"/>
      <c r="KLI368" s="357"/>
      <c r="KLJ368" s="67"/>
      <c r="KLK368" s="67"/>
      <c r="KLM368" s="357"/>
      <c r="KLN368" s="67"/>
      <c r="KLO368" s="67"/>
      <c r="KLQ368" s="357"/>
      <c r="KLR368" s="67"/>
      <c r="KLS368" s="67"/>
      <c r="KLU368" s="357"/>
      <c r="KLV368" s="67"/>
      <c r="KLW368" s="67"/>
      <c r="KLY368" s="357"/>
      <c r="KLZ368" s="67"/>
      <c r="KMA368" s="67"/>
      <c r="KMC368" s="357"/>
      <c r="KMD368" s="67"/>
      <c r="KME368" s="67"/>
      <c r="KMG368" s="357"/>
      <c r="KMH368" s="67"/>
      <c r="KMI368" s="67"/>
      <c r="KMK368" s="357"/>
      <c r="KML368" s="67"/>
      <c r="KMM368" s="67"/>
      <c r="KMO368" s="357"/>
      <c r="KMP368" s="67"/>
      <c r="KMQ368" s="67"/>
      <c r="KMS368" s="357"/>
      <c r="KMT368" s="67"/>
      <c r="KMU368" s="67"/>
      <c r="KMW368" s="357"/>
      <c r="KMX368" s="67"/>
      <c r="KMY368" s="67"/>
      <c r="KNA368" s="357"/>
      <c r="KNB368" s="67"/>
      <c r="KNC368" s="67"/>
      <c r="KNE368" s="357"/>
      <c r="KNF368" s="67"/>
      <c r="KNG368" s="67"/>
      <c r="KNI368" s="357"/>
      <c r="KNJ368" s="67"/>
      <c r="KNK368" s="67"/>
      <c r="KNM368" s="357"/>
      <c r="KNN368" s="67"/>
      <c r="KNO368" s="67"/>
      <c r="KNQ368" s="357"/>
      <c r="KNR368" s="67"/>
      <c r="KNS368" s="67"/>
      <c r="KNU368" s="357"/>
      <c r="KNV368" s="67"/>
      <c r="KNW368" s="67"/>
      <c r="KNY368" s="357"/>
      <c r="KNZ368" s="67"/>
      <c r="KOA368" s="67"/>
      <c r="KOC368" s="357"/>
      <c r="KOD368" s="67"/>
      <c r="KOE368" s="67"/>
      <c r="KOG368" s="357"/>
      <c r="KOH368" s="67"/>
      <c r="KOI368" s="67"/>
      <c r="KOK368" s="357"/>
      <c r="KOL368" s="67"/>
      <c r="KOM368" s="67"/>
      <c r="KOO368" s="357"/>
      <c r="KOP368" s="67"/>
      <c r="KOQ368" s="67"/>
      <c r="KOS368" s="357"/>
      <c r="KOT368" s="67"/>
      <c r="KOU368" s="67"/>
      <c r="KOW368" s="357"/>
      <c r="KOX368" s="67"/>
      <c r="KOY368" s="67"/>
      <c r="KPA368" s="357"/>
      <c r="KPB368" s="67"/>
      <c r="KPC368" s="67"/>
      <c r="KPE368" s="357"/>
      <c r="KPF368" s="67"/>
      <c r="KPG368" s="67"/>
      <c r="KPI368" s="357"/>
      <c r="KPJ368" s="67"/>
      <c r="KPK368" s="67"/>
      <c r="KPM368" s="357"/>
      <c r="KPN368" s="67"/>
      <c r="KPO368" s="67"/>
      <c r="KPQ368" s="357"/>
      <c r="KPR368" s="67"/>
      <c r="KPS368" s="67"/>
      <c r="KPU368" s="357"/>
      <c r="KPV368" s="67"/>
      <c r="KPW368" s="67"/>
      <c r="KPY368" s="357"/>
      <c r="KPZ368" s="67"/>
      <c r="KQA368" s="67"/>
      <c r="KQC368" s="357"/>
      <c r="KQD368" s="67"/>
      <c r="KQE368" s="67"/>
      <c r="KQG368" s="357"/>
      <c r="KQH368" s="67"/>
      <c r="KQI368" s="67"/>
      <c r="KQK368" s="357"/>
      <c r="KQL368" s="67"/>
      <c r="KQM368" s="67"/>
      <c r="KQO368" s="357"/>
      <c r="KQP368" s="67"/>
      <c r="KQQ368" s="67"/>
      <c r="KQS368" s="357"/>
      <c r="KQT368" s="67"/>
      <c r="KQU368" s="67"/>
      <c r="KQW368" s="357"/>
      <c r="KQX368" s="67"/>
      <c r="KQY368" s="67"/>
      <c r="KRA368" s="357"/>
      <c r="KRB368" s="67"/>
      <c r="KRC368" s="67"/>
      <c r="KRE368" s="357"/>
      <c r="KRF368" s="67"/>
      <c r="KRG368" s="67"/>
      <c r="KRI368" s="357"/>
      <c r="KRJ368" s="67"/>
      <c r="KRK368" s="67"/>
      <c r="KRM368" s="357"/>
      <c r="KRN368" s="67"/>
      <c r="KRO368" s="67"/>
      <c r="KRQ368" s="357"/>
      <c r="KRR368" s="67"/>
      <c r="KRS368" s="67"/>
      <c r="KRU368" s="357"/>
      <c r="KRV368" s="67"/>
      <c r="KRW368" s="67"/>
      <c r="KRY368" s="357"/>
      <c r="KRZ368" s="67"/>
      <c r="KSA368" s="67"/>
      <c r="KSC368" s="357"/>
      <c r="KSD368" s="67"/>
      <c r="KSE368" s="67"/>
      <c r="KSG368" s="357"/>
      <c r="KSH368" s="67"/>
      <c r="KSI368" s="67"/>
      <c r="KSK368" s="357"/>
      <c r="KSL368" s="67"/>
      <c r="KSM368" s="67"/>
      <c r="KSO368" s="357"/>
      <c r="KSP368" s="67"/>
      <c r="KSQ368" s="67"/>
      <c r="KSS368" s="357"/>
      <c r="KST368" s="67"/>
      <c r="KSU368" s="67"/>
      <c r="KSW368" s="357"/>
      <c r="KSX368" s="67"/>
      <c r="KSY368" s="67"/>
      <c r="KTA368" s="357"/>
      <c r="KTB368" s="67"/>
      <c r="KTC368" s="67"/>
      <c r="KTE368" s="357"/>
      <c r="KTF368" s="67"/>
      <c r="KTG368" s="67"/>
      <c r="KTI368" s="357"/>
      <c r="KTJ368" s="67"/>
      <c r="KTK368" s="67"/>
      <c r="KTM368" s="357"/>
      <c r="KTN368" s="67"/>
      <c r="KTO368" s="67"/>
      <c r="KTQ368" s="357"/>
      <c r="KTR368" s="67"/>
      <c r="KTS368" s="67"/>
      <c r="KTU368" s="357"/>
      <c r="KTV368" s="67"/>
      <c r="KTW368" s="67"/>
      <c r="KTY368" s="357"/>
      <c r="KTZ368" s="67"/>
      <c r="KUA368" s="67"/>
      <c r="KUC368" s="357"/>
      <c r="KUD368" s="67"/>
      <c r="KUE368" s="67"/>
      <c r="KUG368" s="357"/>
      <c r="KUH368" s="67"/>
      <c r="KUI368" s="67"/>
      <c r="KUK368" s="357"/>
      <c r="KUL368" s="67"/>
      <c r="KUM368" s="67"/>
      <c r="KUO368" s="357"/>
      <c r="KUP368" s="67"/>
      <c r="KUQ368" s="67"/>
      <c r="KUS368" s="357"/>
      <c r="KUT368" s="67"/>
      <c r="KUU368" s="67"/>
      <c r="KUW368" s="357"/>
      <c r="KUX368" s="67"/>
      <c r="KUY368" s="67"/>
      <c r="KVA368" s="357"/>
      <c r="KVB368" s="67"/>
      <c r="KVC368" s="67"/>
      <c r="KVE368" s="357"/>
      <c r="KVF368" s="67"/>
      <c r="KVG368" s="67"/>
      <c r="KVI368" s="357"/>
      <c r="KVJ368" s="67"/>
      <c r="KVK368" s="67"/>
      <c r="KVM368" s="357"/>
      <c r="KVN368" s="67"/>
      <c r="KVO368" s="67"/>
      <c r="KVQ368" s="357"/>
      <c r="KVR368" s="67"/>
      <c r="KVS368" s="67"/>
      <c r="KVU368" s="357"/>
      <c r="KVV368" s="67"/>
      <c r="KVW368" s="67"/>
      <c r="KVY368" s="357"/>
      <c r="KVZ368" s="67"/>
      <c r="KWA368" s="67"/>
      <c r="KWC368" s="357"/>
      <c r="KWD368" s="67"/>
      <c r="KWE368" s="67"/>
      <c r="KWG368" s="357"/>
      <c r="KWH368" s="67"/>
      <c r="KWI368" s="67"/>
      <c r="KWK368" s="357"/>
      <c r="KWL368" s="67"/>
      <c r="KWM368" s="67"/>
      <c r="KWO368" s="357"/>
      <c r="KWP368" s="67"/>
      <c r="KWQ368" s="67"/>
      <c r="KWS368" s="357"/>
      <c r="KWT368" s="67"/>
      <c r="KWU368" s="67"/>
      <c r="KWW368" s="357"/>
      <c r="KWX368" s="67"/>
      <c r="KWY368" s="67"/>
      <c r="KXA368" s="357"/>
      <c r="KXB368" s="67"/>
      <c r="KXC368" s="67"/>
      <c r="KXE368" s="357"/>
      <c r="KXF368" s="67"/>
      <c r="KXG368" s="67"/>
      <c r="KXI368" s="357"/>
      <c r="KXJ368" s="67"/>
      <c r="KXK368" s="67"/>
      <c r="KXM368" s="357"/>
      <c r="KXN368" s="67"/>
      <c r="KXO368" s="67"/>
      <c r="KXQ368" s="357"/>
      <c r="KXR368" s="67"/>
      <c r="KXS368" s="67"/>
      <c r="KXU368" s="357"/>
      <c r="KXV368" s="67"/>
      <c r="KXW368" s="67"/>
      <c r="KXY368" s="357"/>
      <c r="KXZ368" s="67"/>
      <c r="KYA368" s="67"/>
      <c r="KYC368" s="357"/>
      <c r="KYD368" s="67"/>
      <c r="KYE368" s="67"/>
      <c r="KYG368" s="357"/>
      <c r="KYH368" s="67"/>
      <c r="KYI368" s="67"/>
      <c r="KYK368" s="357"/>
      <c r="KYL368" s="67"/>
      <c r="KYM368" s="67"/>
      <c r="KYO368" s="357"/>
      <c r="KYP368" s="67"/>
      <c r="KYQ368" s="67"/>
      <c r="KYS368" s="357"/>
      <c r="KYT368" s="67"/>
      <c r="KYU368" s="67"/>
      <c r="KYW368" s="357"/>
      <c r="KYX368" s="67"/>
      <c r="KYY368" s="67"/>
      <c r="KZA368" s="357"/>
      <c r="KZB368" s="67"/>
      <c r="KZC368" s="67"/>
      <c r="KZE368" s="357"/>
      <c r="KZF368" s="67"/>
      <c r="KZG368" s="67"/>
      <c r="KZI368" s="357"/>
      <c r="KZJ368" s="67"/>
      <c r="KZK368" s="67"/>
      <c r="KZM368" s="357"/>
      <c r="KZN368" s="67"/>
      <c r="KZO368" s="67"/>
      <c r="KZQ368" s="357"/>
      <c r="KZR368" s="67"/>
      <c r="KZS368" s="67"/>
      <c r="KZU368" s="357"/>
      <c r="KZV368" s="67"/>
      <c r="KZW368" s="67"/>
      <c r="KZY368" s="357"/>
      <c r="KZZ368" s="67"/>
      <c r="LAA368" s="67"/>
      <c r="LAC368" s="357"/>
      <c r="LAD368" s="67"/>
      <c r="LAE368" s="67"/>
      <c r="LAG368" s="357"/>
      <c r="LAH368" s="67"/>
      <c r="LAI368" s="67"/>
      <c r="LAK368" s="357"/>
      <c r="LAL368" s="67"/>
      <c r="LAM368" s="67"/>
      <c r="LAO368" s="357"/>
      <c r="LAP368" s="67"/>
      <c r="LAQ368" s="67"/>
      <c r="LAS368" s="357"/>
      <c r="LAT368" s="67"/>
      <c r="LAU368" s="67"/>
      <c r="LAW368" s="357"/>
      <c r="LAX368" s="67"/>
      <c r="LAY368" s="67"/>
      <c r="LBA368" s="357"/>
      <c r="LBB368" s="67"/>
      <c r="LBC368" s="67"/>
      <c r="LBE368" s="357"/>
      <c r="LBF368" s="67"/>
      <c r="LBG368" s="67"/>
      <c r="LBI368" s="357"/>
      <c r="LBJ368" s="67"/>
      <c r="LBK368" s="67"/>
      <c r="LBM368" s="357"/>
      <c r="LBN368" s="67"/>
      <c r="LBO368" s="67"/>
      <c r="LBQ368" s="357"/>
      <c r="LBR368" s="67"/>
      <c r="LBS368" s="67"/>
      <c r="LBU368" s="357"/>
      <c r="LBV368" s="67"/>
      <c r="LBW368" s="67"/>
      <c r="LBY368" s="357"/>
      <c r="LBZ368" s="67"/>
      <c r="LCA368" s="67"/>
      <c r="LCC368" s="357"/>
      <c r="LCD368" s="67"/>
      <c r="LCE368" s="67"/>
      <c r="LCG368" s="357"/>
      <c r="LCH368" s="67"/>
      <c r="LCI368" s="67"/>
      <c r="LCK368" s="357"/>
      <c r="LCL368" s="67"/>
      <c r="LCM368" s="67"/>
      <c r="LCO368" s="357"/>
      <c r="LCP368" s="67"/>
      <c r="LCQ368" s="67"/>
      <c r="LCS368" s="357"/>
      <c r="LCT368" s="67"/>
      <c r="LCU368" s="67"/>
      <c r="LCW368" s="357"/>
      <c r="LCX368" s="67"/>
      <c r="LCY368" s="67"/>
      <c r="LDA368" s="357"/>
      <c r="LDB368" s="67"/>
      <c r="LDC368" s="67"/>
      <c r="LDE368" s="357"/>
      <c r="LDF368" s="67"/>
      <c r="LDG368" s="67"/>
      <c r="LDI368" s="357"/>
      <c r="LDJ368" s="67"/>
      <c r="LDK368" s="67"/>
      <c r="LDM368" s="357"/>
      <c r="LDN368" s="67"/>
      <c r="LDO368" s="67"/>
      <c r="LDQ368" s="357"/>
      <c r="LDR368" s="67"/>
      <c r="LDS368" s="67"/>
      <c r="LDU368" s="357"/>
      <c r="LDV368" s="67"/>
      <c r="LDW368" s="67"/>
      <c r="LDY368" s="357"/>
      <c r="LDZ368" s="67"/>
      <c r="LEA368" s="67"/>
      <c r="LEC368" s="357"/>
      <c r="LED368" s="67"/>
      <c r="LEE368" s="67"/>
      <c r="LEG368" s="357"/>
      <c r="LEH368" s="67"/>
      <c r="LEI368" s="67"/>
      <c r="LEK368" s="357"/>
      <c r="LEL368" s="67"/>
      <c r="LEM368" s="67"/>
      <c r="LEO368" s="357"/>
      <c r="LEP368" s="67"/>
      <c r="LEQ368" s="67"/>
      <c r="LES368" s="357"/>
      <c r="LET368" s="67"/>
      <c r="LEU368" s="67"/>
      <c r="LEW368" s="357"/>
      <c r="LEX368" s="67"/>
      <c r="LEY368" s="67"/>
      <c r="LFA368" s="357"/>
      <c r="LFB368" s="67"/>
      <c r="LFC368" s="67"/>
      <c r="LFE368" s="357"/>
      <c r="LFF368" s="67"/>
      <c r="LFG368" s="67"/>
      <c r="LFI368" s="357"/>
      <c r="LFJ368" s="67"/>
      <c r="LFK368" s="67"/>
      <c r="LFM368" s="357"/>
      <c r="LFN368" s="67"/>
      <c r="LFO368" s="67"/>
      <c r="LFQ368" s="357"/>
      <c r="LFR368" s="67"/>
      <c r="LFS368" s="67"/>
      <c r="LFU368" s="357"/>
      <c r="LFV368" s="67"/>
      <c r="LFW368" s="67"/>
      <c r="LFY368" s="357"/>
      <c r="LFZ368" s="67"/>
      <c r="LGA368" s="67"/>
      <c r="LGC368" s="357"/>
      <c r="LGD368" s="67"/>
      <c r="LGE368" s="67"/>
      <c r="LGG368" s="357"/>
      <c r="LGH368" s="67"/>
      <c r="LGI368" s="67"/>
      <c r="LGK368" s="357"/>
      <c r="LGL368" s="67"/>
      <c r="LGM368" s="67"/>
      <c r="LGO368" s="357"/>
      <c r="LGP368" s="67"/>
      <c r="LGQ368" s="67"/>
      <c r="LGS368" s="357"/>
      <c r="LGT368" s="67"/>
      <c r="LGU368" s="67"/>
      <c r="LGW368" s="357"/>
      <c r="LGX368" s="67"/>
      <c r="LGY368" s="67"/>
      <c r="LHA368" s="357"/>
      <c r="LHB368" s="67"/>
      <c r="LHC368" s="67"/>
      <c r="LHE368" s="357"/>
      <c r="LHF368" s="67"/>
      <c r="LHG368" s="67"/>
      <c r="LHI368" s="357"/>
      <c r="LHJ368" s="67"/>
      <c r="LHK368" s="67"/>
      <c r="LHM368" s="357"/>
      <c r="LHN368" s="67"/>
      <c r="LHO368" s="67"/>
      <c r="LHQ368" s="357"/>
      <c r="LHR368" s="67"/>
      <c r="LHS368" s="67"/>
      <c r="LHU368" s="357"/>
      <c r="LHV368" s="67"/>
      <c r="LHW368" s="67"/>
      <c r="LHY368" s="357"/>
      <c r="LHZ368" s="67"/>
      <c r="LIA368" s="67"/>
      <c r="LIC368" s="357"/>
      <c r="LID368" s="67"/>
      <c r="LIE368" s="67"/>
      <c r="LIG368" s="357"/>
      <c r="LIH368" s="67"/>
      <c r="LII368" s="67"/>
      <c r="LIK368" s="357"/>
      <c r="LIL368" s="67"/>
      <c r="LIM368" s="67"/>
      <c r="LIO368" s="357"/>
      <c r="LIP368" s="67"/>
      <c r="LIQ368" s="67"/>
      <c r="LIS368" s="357"/>
      <c r="LIT368" s="67"/>
      <c r="LIU368" s="67"/>
      <c r="LIW368" s="357"/>
      <c r="LIX368" s="67"/>
      <c r="LIY368" s="67"/>
      <c r="LJA368" s="357"/>
      <c r="LJB368" s="67"/>
      <c r="LJC368" s="67"/>
      <c r="LJE368" s="357"/>
      <c r="LJF368" s="67"/>
      <c r="LJG368" s="67"/>
      <c r="LJI368" s="357"/>
      <c r="LJJ368" s="67"/>
      <c r="LJK368" s="67"/>
      <c r="LJM368" s="357"/>
      <c r="LJN368" s="67"/>
      <c r="LJO368" s="67"/>
      <c r="LJQ368" s="357"/>
      <c r="LJR368" s="67"/>
      <c r="LJS368" s="67"/>
      <c r="LJU368" s="357"/>
      <c r="LJV368" s="67"/>
      <c r="LJW368" s="67"/>
      <c r="LJY368" s="357"/>
      <c r="LJZ368" s="67"/>
      <c r="LKA368" s="67"/>
      <c r="LKC368" s="357"/>
      <c r="LKD368" s="67"/>
      <c r="LKE368" s="67"/>
      <c r="LKG368" s="357"/>
      <c r="LKH368" s="67"/>
      <c r="LKI368" s="67"/>
      <c r="LKK368" s="357"/>
      <c r="LKL368" s="67"/>
      <c r="LKM368" s="67"/>
      <c r="LKO368" s="357"/>
      <c r="LKP368" s="67"/>
      <c r="LKQ368" s="67"/>
      <c r="LKS368" s="357"/>
      <c r="LKT368" s="67"/>
      <c r="LKU368" s="67"/>
      <c r="LKW368" s="357"/>
      <c r="LKX368" s="67"/>
      <c r="LKY368" s="67"/>
      <c r="LLA368" s="357"/>
      <c r="LLB368" s="67"/>
      <c r="LLC368" s="67"/>
      <c r="LLE368" s="357"/>
      <c r="LLF368" s="67"/>
      <c r="LLG368" s="67"/>
      <c r="LLI368" s="357"/>
      <c r="LLJ368" s="67"/>
      <c r="LLK368" s="67"/>
      <c r="LLM368" s="357"/>
      <c r="LLN368" s="67"/>
      <c r="LLO368" s="67"/>
      <c r="LLQ368" s="357"/>
      <c r="LLR368" s="67"/>
      <c r="LLS368" s="67"/>
      <c r="LLU368" s="357"/>
      <c r="LLV368" s="67"/>
      <c r="LLW368" s="67"/>
      <c r="LLY368" s="357"/>
      <c r="LLZ368" s="67"/>
      <c r="LMA368" s="67"/>
      <c r="LMC368" s="357"/>
      <c r="LMD368" s="67"/>
      <c r="LME368" s="67"/>
      <c r="LMG368" s="357"/>
      <c r="LMH368" s="67"/>
      <c r="LMI368" s="67"/>
      <c r="LMK368" s="357"/>
      <c r="LML368" s="67"/>
      <c r="LMM368" s="67"/>
      <c r="LMO368" s="357"/>
      <c r="LMP368" s="67"/>
      <c r="LMQ368" s="67"/>
      <c r="LMS368" s="357"/>
      <c r="LMT368" s="67"/>
      <c r="LMU368" s="67"/>
      <c r="LMW368" s="357"/>
      <c r="LMX368" s="67"/>
      <c r="LMY368" s="67"/>
      <c r="LNA368" s="357"/>
      <c r="LNB368" s="67"/>
      <c r="LNC368" s="67"/>
      <c r="LNE368" s="357"/>
      <c r="LNF368" s="67"/>
      <c r="LNG368" s="67"/>
      <c r="LNI368" s="357"/>
      <c r="LNJ368" s="67"/>
      <c r="LNK368" s="67"/>
      <c r="LNM368" s="357"/>
      <c r="LNN368" s="67"/>
      <c r="LNO368" s="67"/>
      <c r="LNQ368" s="357"/>
      <c r="LNR368" s="67"/>
      <c r="LNS368" s="67"/>
      <c r="LNU368" s="357"/>
      <c r="LNV368" s="67"/>
      <c r="LNW368" s="67"/>
      <c r="LNY368" s="357"/>
      <c r="LNZ368" s="67"/>
      <c r="LOA368" s="67"/>
      <c r="LOC368" s="357"/>
      <c r="LOD368" s="67"/>
      <c r="LOE368" s="67"/>
      <c r="LOG368" s="357"/>
      <c r="LOH368" s="67"/>
      <c r="LOI368" s="67"/>
      <c r="LOK368" s="357"/>
      <c r="LOL368" s="67"/>
      <c r="LOM368" s="67"/>
      <c r="LOO368" s="357"/>
      <c r="LOP368" s="67"/>
      <c r="LOQ368" s="67"/>
      <c r="LOS368" s="357"/>
      <c r="LOT368" s="67"/>
      <c r="LOU368" s="67"/>
      <c r="LOW368" s="357"/>
      <c r="LOX368" s="67"/>
      <c r="LOY368" s="67"/>
      <c r="LPA368" s="357"/>
      <c r="LPB368" s="67"/>
      <c r="LPC368" s="67"/>
      <c r="LPE368" s="357"/>
      <c r="LPF368" s="67"/>
      <c r="LPG368" s="67"/>
      <c r="LPI368" s="357"/>
      <c r="LPJ368" s="67"/>
      <c r="LPK368" s="67"/>
      <c r="LPM368" s="357"/>
      <c r="LPN368" s="67"/>
      <c r="LPO368" s="67"/>
      <c r="LPQ368" s="357"/>
      <c r="LPR368" s="67"/>
      <c r="LPS368" s="67"/>
      <c r="LPU368" s="357"/>
      <c r="LPV368" s="67"/>
      <c r="LPW368" s="67"/>
      <c r="LPY368" s="357"/>
      <c r="LPZ368" s="67"/>
      <c r="LQA368" s="67"/>
      <c r="LQC368" s="357"/>
      <c r="LQD368" s="67"/>
      <c r="LQE368" s="67"/>
      <c r="LQG368" s="357"/>
      <c r="LQH368" s="67"/>
      <c r="LQI368" s="67"/>
      <c r="LQK368" s="357"/>
      <c r="LQL368" s="67"/>
      <c r="LQM368" s="67"/>
      <c r="LQO368" s="357"/>
      <c r="LQP368" s="67"/>
      <c r="LQQ368" s="67"/>
      <c r="LQS368" s="357"/>
      <c r="LQT368" s="67"/>
      <c r="LQU368" s="67"/>
      <c r="LQW368" s="357"/>
      <c r="LQX368" s="67"/>
      <c r="LQY368" s="67"/>
      <c r="LRA368" s="357"/>
      <c r="LRB368" s="67"/>
      <c r="LRC368" s="67"/>
      <c r="LRE368" s="357"/>
      <c r="LRF368" s="67"/>
      <c r="LRG368" s="67"/>
      <c r="LRI368" s="357"/>
      <c r="LRJ368" s="67"/>
      <c r="LRK368" s="67"/>
      <c r="LRM368" s="357"/>
      <c r="LRN368" s="67"/>
      <c r="LRO368" s="67"/>
      <c r="LRQ368" s="357"/>
      <c r="LRR368" s="67"/>
      <c r="LRS368" s="67"/>
      <c r="LRU368" s="357"/>
      <c r="LRV368" s="67"/>
      <c r="LRW368" s="67"/>
      <c r="LRY368" s="357"/>
      <c r="LRZ368" s="67"/>
      <c r="LSA368" s="67"/>
      <c r="LSC368" s="357"/>
      <c r="LSD368" s="67"/>
      <c r="LSE368" s="67"/>
      <c r="LSG368" s="357"/>
      <c r="LSH368" s="67"/>
      <c r="LSI368" s="67"/>
      <c r="LSK368" s="357"/>
      <c r="LSL368" s="67"/>
      <c r="LSM368" s="67"/>
      <c r="LSO368" s="357"/>
      <c r="LSP368" s="67"/>
      <c r="LSQ368" s="67"/>
      <c r="LSS368" s="357"/>
      <c r="LST368" s="67"/>
      <c r="LSU368" s="67"/>
      <c r="LSW368" s="357"/>
      <c r="LSX368" s="67"/>
      <c r="LSY368" s="67"/>
      <c r="LTA368" s="357"/>
      <c r="LTB368" s="67"/>
      <c r="LTC368" s="67"/>
      <c r="LTE368" s="357"/>
      <c r="LTF368" s="67"/>
      <c r="LTG368" s="67"/>
      <c r="LTI368" s="357"/>
      <c r="LTJ368" s="67"/>
      <c r="LTK368" s="67"/>
      <c r="LTM368" s="357"/>
      <c r="LTN368" s="67"/>
      <c r="LTO368" s="67"/>
      <c r="LTQ368" s="357"/>
      <c r="LTR368" s="67"/>
      <c r="LTS368" s="67"/>
      <c r="LTU368" s="357"/>
      <c r="LTV368" s="67"/>
      <c r="LTW368" s="67"/>
      <c r="LTY368" s="357"/>
      <c r="LTZ368" s="67"/>
      <c r="LUA368" s="67"/>
      <c r="LUC368" s="357"/>
      <c r="LUD368" s="67"/>
      <c r="LUE368" s="67"/>
      <c r="LUG368" s="357"/>
      <c r="LUH368" s="67"/>
      <c r="LUI368" s="67"/>
      <c r="LUK368" s="357"/>
      <c r="LUL368" s="67"/>
      <c r="LUM368" s="67"/>
      <c r="LUO368" s="357"/>
      <c r="LUP368" s="67"/>
      <c r="LUQ368" s="67"/>
      <c r="LUS368" s="357"/>
      <c r="LUT368" s="67"/>
      <c r="LUU368" s="67"/>
      <c r="LUW368" s="357"/>
      <c r="LUX368" s="67"/>
      <c r="LUY368" s="67"/>
      <c r="LVA368" s="357"/>
      <c r="LVB368" s="67"/>
      <c r="LVC368" s="67"/>
      <c r="LVE368" s="357"/>
      <c r="LVF368" s="67"/>
      <c r="LVG368" s="67"/>
      <c r="LVI368" s="357"/>
      <c r="LVJ368" s="67"/>
      <c r="LVK368" s="67"/>
      <c r="LVM368" s="357"/>
      <c r="LVN368" s="67"/>
      <c r="LVO368" s="67"/>
      <c r="LVQ368" s="357"/>
      <c r="LVR368" s="67"/>
      <c r="LVS368" s="67"/>
      <c r="LVU368" s="357"/>
      <c r="LVV368" s="67"/>
      <c r="LVW368" s="67"/>
      <c r="LVY368" s="357"/>
      <c r="LVZ368" s="67"/>
      <c r="LWA368" s="67"/>
      <c r="LWC368" s="357"/>
      <c r="LWD368" s="67"/>
      <c r="LWE368" s="67"/>
      <c r="LWG368" s="357"/>
      <c r="LWH368" s="67"/>
      <c r="LWI368" s="67"/>
      <c r="LWK368" s="357"/>
      <c r="LWL368" s="67"/>
      <c r="LWM368" s="67"/>
      <c r="LWO368" s="357"/>
      <c r="LWP368" s="67"/>
      <c r="LWQ368" s="67"/>
      <c r="LWS368" s="357"/>
      <c r="LWT368" s="67"/>
      <c r="LWU368" s="67"/>
      <c r="LWW368" s="357"/>
      <c r="LWX368" s="67"/>
      <c r="LWY368" s="67"/>
      <c r="LXA368" s="357"/>
      <c r="LXB368" s="67"/>
      <c r="LXC368" s="67"/>
      <c r="LXE368" s="357"/>
      <c r="LXF368" s="67"/>
      <c r="LXG368" s="67"/>
      <c r="LXI368" s="357"/>
      <c r="LXJ368" s="67"/>
      <c r="LXK368" s="67"/>
      <c r="LXM368" s="357"/>
      <c r="LXN368" s="67"/>
      <c r="LXO368" s="67"/>
      <c r="LXQ368" s="357"/>
      <c r="LXR368" s="67"/>
      <c r="LXS368" s="67"/>
      <c r="LXU368" s="357"/>
      <c r="LXV368" s="67"/>
      <c r="LXW368" s="67"/>
      <c r="LXY368" s="357"/>
      <c r="LXZ368" s="67"/>
      <c r="LYA368" s="67"/>
      <c r="LYC368" s="357"/>
      <c r="LYD368" s="67"/>
      <c r="LYE368" s="67"/>
      <c r="LYG368" s="357"/>
      <c r="LYH368" s="67"/>
      <c r="LYI368" s="67"/>
      <c r="LYK368" s="357"/>
      <c r="LYL368" s="67"/>
      <c r="LYM368" s="67"/>
      <c r="LYO368" s="357"/>
      <c r="LYP368" s="67"/>
      <c r="LYQ368" s="67"/>
      <c r="LYS368" s="357"/>
      <c r="LYT368" s="67"/>
      <c r="LYU368" s="67"/>
      <c r="LYW368" s="357"/>
      <c r="LYX368" s="67"/>
      <c r="LYY368" s="67"/>
      <c r="LZA368" s="357"/>
      <c r="LZB368" s="67"/>
      <c r="LZC368" s="67"/>
      <c r="LZE368" s="357"/>
      <c r="LZF368" s="67"/>
      <c r="LZG368" s="67"/>
      <c r="LZI368" s="357"/>
      <c r="LZJ368" s="67"/>
      <c r="LZK368" s="67"/>
      <c r="LZM368" s="357"/>
      <c r="LZN368" s="67"/>
      <c r="LZO368" s="67"/>
      <c r="LZQ368" s="357"/>
      <c r="LZR368" s="67"/>
      <c r="LZS368" s="67"/>
      <c r="LZU368" s="357"/>
      <c r="LZV368" s="67"/>
      <c r="LZW368" s="67"/>
      <c r="LZY368" s="357"/>
      <c r="LZZ368" s="67"/>
      <c r="MAA368" s="67"/>
      <c r="MAC368" s="357"/>
      <c r="MAD368" s="67"/>
      <c r="MAE368" s="67"/>
      <c r="MAG368" s="357"/>
      <c r="MAH368" s="67"/>
      <c r="MAI368" s="67"/>
      <c r="MAK368" s="357"/>
      <c r="MAL368" s="67"/>
      <c r="MAM368" s="67"/>
      <c r="MAO368" s="357"/>
      <c r="MAP368" s="67"/>
      <c r="MAQ368" s="67"/>
      <c r="MAS368" s="357"/>
      <c r="MAT368" s="67"/>
      <c r="MAU368" s="67"/>
      <c r="MAW368" s="357"/>
      <c r="MAX368" s="67"/>
      <c r="MAY368" s="67"/>
      <c r="MBA368" s="357"/>
      <c r="MBB368" s="67"/>
      <c r="MBC368" s="67"/>
      <c r="MBE368" s="357"/>
      <c r="MBF368" s="67"/>
      <c r="MBG368" s="67"/>
      <c r="MBI368" s="357"/>
      <c r="MBJ368" s="67"/>
      <c r="MBK368" s="67"/>
      <c r="MBM368" s="357"/>
      <c r="MBN368" s="67"/>
      <c r="MBO368" s="67"/>
      <c r="MBQ368" s="357"/>
      <c r="MBR368" s="67"/>
      <c r="MBS368" s="67"/>
      <c r="MBU368" s="357"/>
      <c r="MBV368" s="67"/>
      <c r="MBW368" s="67"/>
      <c r="MBY368" s="357"/>
      <c r="MBZ368" s="67"/>
      <c r="MCA368" s="67"/>
      <c r="MCC368" s="357"/>
      <c r="MCD368" s="67"/>
      <c r="MCE368" s="67"/>
      <c r="MCG368" s="357"/>
      <c r="MCH368" s="67"/>
      <c r="MCI368" s="67"/>
      <c r="MCK368" s="357"/>
      <c r="MCL368" s="67"/>
      <c r="MCM368" s="67"/>
      <c r="MCO368" s="357"/>
      <c r="MCP368" s="67"/>
      <c r="MCQ368" s="67"/>
      <c r="MCS368" s="357"/>
      <c r="MCT368" s="67"/>
      <c r="MCU368" s="67"/>
      <c r="MCW368" s="357"/>
      <c r="MCX368" s="67"/>
      <c r="MCY368" s="67"/>
      <c r="MDA368" s="357"/>
      <c r="MDB368" s="67"/>
      <c r="MDC368" s="67"/>
      <c r="MDE368" s="357"/>
      <c r="MDF368" s="67"/>
      <c r="MDG368" s="67"/>
      <c r="MDI368" s="357"/>
      <c r="MDJ368" s="67"/>
      <c r="MDK368" s="67"/>
      <c r="MDM368" s="357"/>
      <c r="MDN368" s="67"/>
      <c r="MDO368" s="67"/>
      <c r="MDQ368" s="357"/>
      <c r="MDR368" s="67"/>
      <c r="MDS368" s="67"/>
      <c r="MDU368" s="357"/>
      <c r="MDV368" s="67"/>
      <c r="MDW368" s="67"/>
      <c r="MDY368" s="357"/>
      <c r="MDZ368" s="67"/>
      <c r="MEA368" s="67"/>
      <c r="MEC368" s="357"/>
      <c r="MED368" s="67"/>
      <c r="MEE368" s="67"/>
      <c r="MEG368" s="357"/>
      <c r="MEH368" s="67"/>
      <c r="MEI368" s="67"/>
      <c r="MEK368" s="357"/>
      <c r="MEL368" s="67"/>
      <c r="MEM368" s="67"/>
      <c r="MEO368" s="357"/>
      <c r="MEP368" s="67"/>
      <c r="MEQ368" s="67"/>
      <c r="MES368" s="357"/>
      <c r="MET368" s="67"/>
      <c r="MEU368" s="67"/>
      <c r="MEW368" s="357"/>
      <c r="MEX368" s="67"/>
      <c r="MEY368" s="67"/>
      <c r="MFA368" s="357"/>
      <c r="MFB368" s="67"/>
      <c r="MFC368" s="67"/>
      <c r="MFE368" s="357"/>
      <c r="MFF368" s="67"/>
      <c r="MFG368" s="67"/>
      <c r="MFI368" s="357"/>
      <c r="MFJ368" s="67"/>
      <c r="MFK368" s="67"/>
      <c r="MFM368" s="357"/>
      <c r="MFN368" s="67"/>
      <c r="MFO368" s="67"/>
      <c r="MFQ368" s="357"/>
      <c r="MFR368" s="67"/>
      <c r="MFS368" s="67"/>
      <c r="MFU368" s="357"/>
      <c r="MFV368" s="67"/>
      <c r="MFW368" s="67"/>
      <c r="MFY368" s="357"/>
      <c r="MFZ368" s="67"/>
      <c r="MGA368" s="67"/>
      <c r="MGC368" s="357"/>
      <c r="MGD368" s="67"/>
      <c r="MGE368" s="67"/>
      <c r="MGG368" s="357"/>
      <c r="MGH368" s="67"/>
      <c r="MGI368" s="67"/>
      <c r="MGK368" s="357"/>
      <c r="MGL368" s="67"/>
      <c r="MGM368" s="67"/>
      <c r="MGO368" s="357"/>
      <c r="MGP368" s="67"/>
      <c r="MGQ368" s="67"/>
      <c r="MGS368" s="357"/>
      <c r="MGT368" s="67"/>
      <c r="MGU368" s="67"/>
      <c r="MGW368" s="357"/>
      <c r="MGX368" s="67"/>
      <c r="MGY368" s="67"/>
      <c r="MHA368" s="357"/>
      <c r="MHB368" s="67"/>
      <c r="MHC368" s="67"/>
      <c r="MHE368" s="357"/>
      <c r="MHF368" s="67"/>
      <c r="MHG368" s="67"/>
      <c r="MHI368" s="357"/>
      <c r="MHJ368" s="67"/>
      <c r="MHK368" s="67"/>
      <c r="MHM368" s="357"/>
      <c r="MHN368" s="67"/>
      <c r="MHO368" s="67"/>
      <c r="MHQ368" s="357"/>
      <c r="MHR368" s="67"/>
      <c r="MHS368" s="67"/>
      <c r="MHU368" s="357"/>
      <c r="MHV368" s="67"/>
      <c r="MHW368" s="67"/>
      <c r="MHY368" s="357"/>
      <c r="MHZ368" s="67"/>
      <c r="MIA368" s="67"/>
      <c r="MIC368" s="357"/>
      <c r="MID368" s="67"/>
      <c r="MIE368" s="67"/>
      <c r="MIG368" s="357"/>
      <c r="MIH368" s="67"/>
      <c r="MII368" s="67"/>
      <c r="MIK368" s="357"/>
      <c r="MIL368" s="67"/>
      <c r="MIM368" s="67"/>
      <c r="MIO368" s="357"/>
      <c r="MIP368" s="67"/>
      <c r="MIQ368" s="67"/>
      <c r="MIS368" s="357"/>
      <c r="MIT368" s="67"/>
      <c r="MIU368" s="67"/>
      <c r="MIW368" s="357"/>
      <c r="MIX368" s="67"/>
      <c r="MIY368" s="67"/>
      <c r="MJA368" s="357"/>
      <c r="MJB368" s="67"/>
      <c r="MJC368" s="67"/>
      <c r="MJE368" s="357"/>
      <c r="MJF368" s="67"/>
      <c r="MJG368" s="67"/>
      <c r="MJI368" s="357"/>
      <c r="MJJ368" s="67"/>
      <c r="MJK368" s="67"/>
      <c r="MJM368" s="357"/>
      <c r="MJN368" s="67"/>
      <c r="MJO368" s="67"/>
      <c r="MJQ368" s="357"/>
      <c r="MJR368" s="67"/>
      <c r="MJS368" s="67"/>
      <c r="MJU368" s="357"/>
      <c r="MJV368" s="67"/>
      <c r="MJW368" s="67"/>
      <c r="MJY368" s="357"/>
      <c r="MJZ368" s="67"/>
      <c r="MKA368" s="67"/>
      <c r="MKC368" s="357"/>
      <c r="MKD368" s="67"/>
      <c r="MKE368" s="67"/>
      <c r="MKG368" s="357"/>
      <c r="MKH368" s="67"/>
      <c r="MKI368" s="67"/>
      <c r="MKK368" s="357"/>
      <c r="MKL368" s="67"/>
      <c r="MKM368" s="67"/>
      <c r="MKO368" s="357"/>
      <c r="MKP368" s="67"/>
      <c r="MKQ368" s="67"/>
      <c r="MKS368" s="357"/>
      <c r="MKT368" s="67"/>
      <c r="MKU368" s="67"/>
      <c r="MKW368" s="357"/>
      <c r="MKX368" s="67"/>
      <c r="MKY368" s="67"/>
      <c r="MLA368" s="357"/>
      <c r="MLB368" s="67"/>
      <c r="MLC368" s="67"/>
      <c r="MLE368" s="357"/>
      <c r="MLF368" s="67"/>
      <c r="MLG368" s="67"/>
      <c r="MLI368" s="357"/>
      <c r="MLJ368" s="67"/>
      <c r="MLK368" s="67"/>
      <c r="MLM368" s="357"/>
      <c r="MLN368" s="67"/>
      <c r="MLO368" s="67"/>
      <c r="MLQ368" s="357"/>
      <c r="MLR368" s="67"/>
      <c r="MLS368" s="67"/>
      <c r="MLU368" s="357"/>
      <c r="MLV368" s="67"/>
      <c r="MLW368" s="67"/>
      <c r="MLY368" s="357"/>
      <c r="MLZ368" s="67"/>
      <c r="MMA368" s="67"/>
      <c r="MMC368" s="357"/>
      <c r="MMD368" s="67"/>
      <c r="MME368" s="67"/>
      <c r="MMG368" s="357"/>
      <c r="MMH368" s="67"/>
      <c r="MMI368" s="67"/>
      <c r="MMK368" s="357"/>
      <c r="MML368" s="67"/>
      <c r="MMM368" s="67"/>
      <c r="MMO368" s="357"/>
      <c r="MMP368" s="67"/>
      <c r="MMQ368" s="67"/>
      <c r="MMS368" s="357"/>
      <c r="MMT368" s="67"/>
      <c r="MMU368" s="67"/>
      <c r="MMW368" s="357"/>
      <c r="MMX368" s="67"/>
      <c r="MMY368" s="67"/>
      <c r="MNA368" s="357"/>
      <c r="MNB368" s="67"/>
      <c r="MNC368" s="67"/>
      <c r="MNE368" s="357"/>
      <c r="MNF368" s="67"/>
      <c r="MNG368" s="67"/>
      <c r="MNI368" s="357"/>
      <c r="MNJ368" s="67"/>
      <c r="MNK368" s="67"/>
      <c r="MNM368" s="357"/>
      <c r="MNN368" s="67"/>
      <c r="MNO368" s="67"/>
      <c r="MNQ368" s="357"/>
      <c r="MNR368" s="67"/>
      <c r="MNS368" s="67"/>
      <c r="MNU368" s="357"/>
      <c r="MNV368" s="67"/>
      <c r="MNW368" s="67"/>
      <c r="MNY368" s="357"/>
      <c r="MNZ368" s="67"/>
      <c r="MOA368" s="67"/>
      <c r="MOC368" s="357"/>
      <c r="MOD368" s="67"/>
      <c r="MOE368" s="67"/>
      <c r="MOG368" s="357"/>
      <c r="MOH368" s="67"/>
      <c r="MOI368" s="67"/>
      <c r="MOK368" s="357"/>
      <c r="MOL368" s="67"/>
      <c r="MOM368" s="67"/>
      <c r="MOO368" s="357"/>
      <c r="MOP368" s="67"/>
      <c r="MOQ368" s="67"/>
      <c r="MOS368" s="357"/>
      <c r="MOT368" s="67"/>
      <c r="MOU368" s="67"/>
      <c r="MOW368" s="357"/>
      <c r="MOX368" s="67"/>
      <c r="MOY368" s="67"/>
      <c r="MPA368" s="357"/>
      <c r="MPB368" s="67"/>
      <c r="MPC368" s="67"/>
      <c r="MPE368" s="357"/>
      <c r="MPF368" s="67"/>
      <c r="MPG368" s="67"/>
      <c r="MPI368" s="357"/>
      <c r="MPJ368" s="67"/>
      <c r="MPK368" s="67"/>
      <c r="MPM368" s="357"/>
      <c r="MPN368" s="67"/>
      <c r="MPO368" s="67"/>
      <c r="MPQ368" s="357"/>
      <c r="MPR368" s="67"/>
      <c r="MPS368" s="67"/>
      <c r="MPU368" s="357"/>
      <c r="MPV368" s="67"/>
      <c r="MPW368" s="67"/>
      <c r="MPY368" s="357"/>
      <c r="MPZ368" s="67"/>
      <c r="MQA368" s="67"/>
      <c r="MQC368" s="357"/>
      <c r="MQD368" s="67"/>
      <c r="MQE368" s="67"/>
      <c r="MQG368" s="357"/>
      <c r="MQH368" s="67"/>
      <c r="MQI368" s="67"/>
      <c r="MQK368" s="357"/>
      <c r="MQL368" s="67"/>
      <c r="MQM368" s="67"/>
      <c r="MQO368" s="357"/>
      <c r="MQP368" s="67"/>
      <c r="MQQ368" s="67"/>
      <c r="MQS368" s="357"/>
      <c r="MQT368" s="67"/>
      <c r="MQU368" s="67"/>
      <c r="MQW368" s="357"/>
      <c r="MQX368" s="67"/>
      <c r="MQY368" s="67"/>
      <c r="MRA368" s="357"/>
      <c r="MRB368" s="67"/>
      <c r="MRC368" s="67"/>
      <c r="MRE368" s="357"/>
      <c r="MRF368" s="67"/>
      <c r="MRG368" s="67"/>
      <c r="MRI368" s="357"/>
      <c r="MRJ368" s="67"/>
      <c r="MRK368" s="67"/>
      <c r="MRM368" s="357"/>
      <c r="MRN368" s="67"/>
      <c r="MRO368" s="67"/>
      <c r="MRQ368" s="357"/>
      <c r="MRR368" s="67"/>
      <c r="MRS368" s="67"/>
      <c r="MRU368" s="357"/>
      <c r="MRV368" s="67"/>
      <c r="MRW368" s="67"/>
      <c r="MRY368" s="357"/>
      <c r="MRZ368" s="67"/>
      <c r="MSA368" s="67"/>
      <c r="MSC368" s="357"/>
      <c r="MSD368" s="67"/>
      <c r="MSE368" s="67"/>
      <c r="MSG368" s="357"/>
      <c r="MSH368" s="67"/>
      <c r="MSI368" s="67"/>
      <c r="MSK368" s="357"/>
      <c r="MSL368" s="67"/>
      <c r="MSM368" s="67"/>
      <c r="MSO368" s="357"/>
      <c r="MSP368" s="67"/>
      <c r="MSQ368" s="67"/>
      <c r="MSS368" s="357"/>
      <c r="MST368" s="67"/>
      <c r="MSU368" s="67"/>
      <c r="MSW368" s="357"/>
      <c r="MSX368" s="67"/>
      <c r="MSY368" s="67"/>
      <c r="MTA368" s="357"/>
      <c r="MTB368" s="67"/>
      <c r="MTC368" s="67"/>
      <c r="MTE368" s="357"/>
      <c r="MTF368" s="67"/>
      <c r="MTG368" s="67"/>
      <c r="MTI368" s="357"/>
      <c r="MTJ368" s="67"/>
      <c r="MTK368" s="67"/>
      <c r="MTM368" s="357"/>
      <c r="MTN368" s="67"/>
      <c r="MTO368" s="67"/>
      <c r="MTQ368" s="357"/>
      <c r="MTR368" s="67"/>
      <c r="MTS368" s="67"/>
      <c r="MTU368" s="357"/>
      <c r="MTV368" s="67"/>
      <c r="MTW368" s="67"/>
      <c r="MTY368" s="357"/>
      <c r="MTZ368" s="67"/>
      <c r="MUA368" s="67"/>
      <c r="MUC368" s="357"/>
      <c r="MUD368" s="67"/>
      <c r="MUE368" s="67"/>
      <c r="MUG368" s="357"/>
      <c r="MUH368" s="67"/>
      <c r="MUI368" s="67"/>
      <c r="MUK368" s="357"/>
      <c r="MUL368" s="67"/>
      <c r="MUM368" s="67"/>
      <c r="MUO368" s="357"/>
      <c r="MUP368" s="67"/>
      <c r="MUQ368" s="67"/>
      <c r="MUS368" s="357"/>
      <c r="MUT368" s="67"/>
      <c r="MUU368" s="67"/>
      <c r="MUW368" s="357"/>
      <c r="MUX368" s="67"/>
      <c r="MUY368" s="67"/>
      <c r="MVA368" s="357"/>
      <c r="MVB368" s="67"/>
      <c r="MVC368" s="67"/>
      <c r="MVE368" s="357"/>
      <c r="MVF368" s="67"/>
      <c r="MVG368" s="67"/>
      <c r="MVI368" s="357"/>
      <c r="MVJ368" s="67"/>
      <c r="MVK368" s="67"/>
      <c r="MVM368" s="357"/>
      <c r="MVN368" s="67"/>
      <c r="MVO368" s="67"/>
      <c r="MVQ368" s="357"/>
      <c r="MVR368" s="67"/>
      <c r="MVS368" s="67"/>
      <c r="MVU368" s="357"/>
      <c r="MVV368" s="67"/>
      <c r="MVW368" s="67"/>
      <c r="MVY368" s="357"/>
      <c r="MVZ368" s="67"/>
      <c r="MWA368" s="67"/>
      <c r="MWC368" s="357"/>
      <c r="MWD368" s="67"/>
      <c r="MWE368" s="67"/>
      <c r="MWG368" s="357"/>
      <c r="MWH368" s="67"/>
      <c r="MWI368" s="67"/>
      <c r="MWK368" s="357"/>
      <c r="MWL368" s="67"/>
      <c r="MWM368" s="67"/>
      <c r="MWO368" s="357"/>
      <c r="MWP368" s="67"/>
      <c r="MWQ368" s="67"/>
      <c r="MWS368" s="357"/>
      <c r="MWT368" s="67"/>
      <c r="MWU368" s="67"/>
      <c r="MWW368" s="357"/>
      <c r="MWX368" s="67"/>
      <c r="MWY368" s="67"/>
      <c r="MXA368" s="357"/>
      <c r="MXB368" s="67"/>
      <c r="MXC368" s="67"/>
      <c r="MXE368" s="357"/>
      <c r="MXF368" s="67"/>
      <c r="MXG368" s="67"/>
      <c r="MXI368" s="357"/>
      <c r="MXJ368" s="67"/>
      <c r="MXK368" s="67"/>
      <c r="MXM368" s="357"/>
      <c r="MXN368" s="67"/>
      <c r="MXO368" s="67"/>
      <c r="MXQ368" s="357"/>
      <c r="MXR368" s="67"/>
      <c r="MXS368" s="67"/>
      <c r="MXU368" s="357"/>
      <c r="MXV368" s="67"/>
      <c r="MXW368" s="67"/>
      <c r="MXY368" s="357"/>
      <c r="MXZ368" s="67"/>
      <c r="MYA368" s="67"/>
      <c r="MYC368" s="357"/>
      <c r="MYD368" s="67"/>
      <c r="MYE368" s="67"/>
      <c r="MYG368" s="357"/>
      <c r="MYH368" s="67"/>
      <c r="MYI368" s="67"/>
      <c r="MYK368" s="357"/>
      <c r="MYL368" s="67"/>
      <c r="MYM368" s="67"/>
      <c r="MYO368" s="357"/>
      <c r="MYP368" s="67"/>
      <c r="MYQ368" s="67"/>
      <c r="MYS368" s="357"/>
      <c r="MYT368" s="67"/>
      <c r="MYU368" s="67"/>
      <c r="MYW368" s="357"/>
      <c r="MYX368" s="67"/>
      <c r="MYY368" s="67"/>
      <c r="MZA368" s="357"/>
      <c r="MZB368" s="67"/>
      <c r="MZC368" s="67"/>
      <c r="MZE368" s="357"/>
      <c r="MZF368" s="67"/>
      <c r="MZG368" s="67"/>
      <c r="MZI368" s="357"/>
      <c r="MZJ368" s="67"/>
      <c r="MZK368" s="67"/>
      <c r="MZM368" s="357"/>
      <c r="MZN368" s="67"/>
      <c r="MZO368" s="67"/>
      <c r="MZQ368" s="357"/>
      <c r="MZR368" s="67"/>
      <c r="MZS368" s="67"/>
      <c r="MZU368" s="357"/>
      <c r="MZV368" s="67"/>
      <c r="MZW368" s="67"/>
      <c r="MZY368" s="357"/>
      <c r="MZZ368" s="67"/>
      <c r="NAA368" s="67"/>
      <c r="NAC368" s="357"/>
      <c r="NAD368" s="67"/>
      <c r="NAE368" s="67"/>
      <c r="NAG368" s="357"/>
      <c r="NAH368" s="67"/>
      <c r="NAI368" s="67"/>
      <c r="NAK368" s="357"/>
      <c r="NAL368" s="67"/>
      <c r="NAM368" s="67"/>
      <c r="NAO368" s="357"/>
      <c r="NAP368" s="67"/>
      <c r="NAQ368" s="67"/>
      <c r="NAS368" s="357"/>
      <c r="NAT368" s="67"/>
      <c r="NAU368" s="67"/>
      <c r="NAW368" s="357"/>
      <c r="NAX368" s="67"/>
      <c r="NAY368" s="67"/>
      <c r="NBA368" s="357"/>
      <c r="NBB368" s="67"/>
      <c r="NBC368" s="67"/>
      <c r="NBE368" s="357"/>
      <c r="NBF368" s="67"/>
      <c r="NBG368" s="67"/>
      <c r="NBI368" s="357"/>
      <c r="NBJ368" s="67"/>
      <c r="NBK368" s="67"/>
      <c r="NBM368" s="357"/>
      <c r="NBN368" s="67"/>
      <c r="NBO368" s="67"/>
      <c r="NBQ368" s="357"/>
      <c r="NBR368" s="67"/>
      <c r="NBS368" s="67"/>
      <c r="NBU368" s="357"/>
      <c r="NBV368" s="67"/>
      <c r="NBW368" s="67"/>
      <c r="NBY368" s="357"/>
      <c r="NBZ368" s="67"/>
      <c r="NCA368" s="67"/>
      <c r="NCC368" s="357"/>
      <c r="NCD368" s="67"/>
      <c r="NCE368" s="67"/>
      <c r="NCG368" s="357"/>
      <c r="NCH368" s="67"/>
      <c r="NCI368" s="67"/>
      <c r="NCK368" s="357"/>
      <c r="NCL368" s="67"/>
      <c r="NCM368" s="67"/>
      <c r="NCO368" s="357"/>
      <c r="NCP368" s="67"/>
      <c r="NCQ368" s="67"/>
      <c r="NCS368" s="357"/>
      <c r="NCT368" s="67"/>
      <c r="NCU368" s="67"/>
      <c r="NCW368" s="357"/>
      <c r="NCX368" s="67"/>
      <c r="NCY368" s="67"/>
      <c r="NDA368" s="357"/>
      <c r="NDB368" s="67"/>
      <c r="NDC368" s="67"/>
      <c r="NDE368" s="357"/>
      <c r="NDF368" s="67"/>
      <c r="NDG368" s="67"/>
      <c r="NDI368" s="357"/>
      <c r="NDJ368" s="67"/>
      <c r="NDK368" s="67"/>
      <c r="NDM368" s="357"/>
      <c r="NDN368" s="67"/>
      <c r="NDO368" s="67"/>
      <c r="NDQ368" s="357"/>
      <c r="NDR368" s="67"/>
      <c r="NDS368" s="67"/>
      <c r="NDU368" s="357"/>
      <c r="NDV368" s="67"/>
      <c r="NDW368" s="67"/>
      <c r="NDY368" s="357"/>
      <c r="NDZ368" s="67"/>
      <c r="NEA368" s="67"/>
      <c r="NEC368" s="357"/>
      <c r="NED368" s="67"/>
      <c r="NEE368" s="67"/>
      <c r="NEG368" s="357"/>
      <c r="NEH368" s="67"/>
      <c r="NEI368" s="67"/>
      <c r="NEK368" s="357"/>
      <c r="NEL368" s="67"/>
      <c r="NEM368" s="67"/>
      <c r="NEO368" s="357"/>
      <c r="NEP368" s="67"/>
      <c r="NEQ368" s="67"/>
      <c r="NES368" s="357"/>
      <c r="NET368" s="67"/>
      <c r="NEU368" s="67"/>
      <c r="NEW368" s="357"/>
      <c r="NEX368" s="67"/>
      <c r="NEY368" s="67"/>
      <c r="NFA368" s="357"/>
      <c r="NFB368" s="67"/>
      <c r="NFC368" s="67"/>
      <c r="NFE368" s="357"/>
      <c r="NFF368" s="67"/>
      <c r="NFG368" s="67"/>
      <c r="NFI368" s="357"/>
      <c r="NFJ368" s="67"/>
      <c r="NFK368" s="67"/>
      <c r="NFM368" s="357"/>
      <c r="NFN368" s="67"/>
      <c r="NFO368" s="67"/>
      <c r="NFQ368" s="357"/>
      <c r="NFR368" s="67"/>
      <c r="NFS368" s="67"/>
      <c r="NFU368" s="357"/>
      <c r="NFV368" s="67"/>
      <c r="NFW368" s="67"/>
      <c r="NFY368" s="357"/>
      <c r="NFZ368" s="67"/>
      <c r="NGA368" s="67"/>
      <c r="NGC368" s="357"/>
      <c r="NGD368" s="67"/>
      <c r="NGE368" s="67"/>
      <c r="NGG368" s="357"/>
      <c r="NGH368" s="67"/>
      <c r="NGI368" s="67"/>
      <c r="NGK368" s="357"/>
      <c r="NGL368" s="67"/>
      <c r="NGM368" s="67"/>
      <c r="NGO368" s="357"/>
      <c r="NGP368" s="67"/>
      <c r="NGQ368" s="67"/>
      <c r="NGS368" s="357"/>
      <c r="NGT368" s="67"/>
      <c r="NGU368" s="67"/>
      <c r="NGW368" s="357"/>
      <c r="NGX368" s="67"/>
      <c r="NGY368" s="67"/>
      <c r="NHA368" s="357"/>
      <c r="NHB368" s="67"/>
      <c r="NHC368" s="67"/>
      <c r="NHE368" s="357"/>
      <c r="NHF368" s="67"/>
      <c r="NHG368" s="67"/>
      <c r="NHI368" s="357"/>
      <c r="NHJ368" s="67"/>
      <c r="NHK368" s="67"/>
      <c r="NHM368" s="357"/>
      <c r="NHN368" s="67"/>
      <c r="NHO368" s="67"/>
      <c r="NHQ368" s="357"/>
      <c r="NHR368" s="67"/>
      <c r="NHS368" s="67"/>
      <c r="NHU368" s="357"/>
      <c r="NHV368" s="67"/>
      <c r="NHW368" s="67"/>
      <c r="NHY368" s="357"/>
      <c r="NHZ368" s="67"/>
      <c r="NIA368" s="67"/>
      <c r="NIC368" s="357"/>
      <c r="NID368" s="67"/>
      <c r="NIE368" s="67"/>
      <c r="NIG368" s="357"/>
      <c r="NIH368" s="67"/>
      <c r="NII368" s="67"/>
      <c r="NIK368" s="357"/>
      <c r="NIL368" s="67"/>
      <c r="NIM368" s="67"/>
      <c r="NIO368" s="357"/>
      <c r="NIP368" s="67"/>
      <c r="NIQ368" s="67"/>
      <c r="NIS368" s="357"/>
      <c r="NIT368" s="67"/>
      <c r="NIU368" s="67"/>
      <c r="NIW368" s="357"/>
      <c r="NIX368" s="67"/>
      <c r="NIY368" s="67"/>
      <c r="NJA368" s="357"/>
      <c r="NJB368" s="67"/>
      <c r="NJC368" s="67"/>
      <c r="NJE368" s="357"/>
      <c r="NJF368" s="67"/>
      <c r="NJG368" s="67"/>
      <c r="NJI368" s="357"/>
      <c r="NJJ368" s="67"/>
      <c r="NJK368" s="67"/>
      <c r="NJM368" s="357"/>
      <c r="NJN368" s="67"/>
      <c r="NJO368" s="67"/>
      <c r="NJQ368" s="357"/>
      <c r="NJR368" s="67"/>
      <c r="NJS368" s="67"/>
      <c r="NJU368" s="357"/>
      <c r="NJV368" s="67"/>
      <c r="NJW368" s="67"/>
      <c r="NJY368" s="357"/>
      <c r="NJZ368" s="67"/>
      <c r="NKA368" s="67"/>
      <c r="NKC368" s="357"/>
      <c r="NKD368" s="67"/>
      <c r="NKE368" s="67"/>
      <c r="NKG368" s="357"/>
      <c r="NKH368" s="67"/>
      <c r="NKI368" s="67"/>
      <c r="NKK368" s="357"/>
      <c r="NKL368" s="67"/>
      <c r="NKM368" s="67"/>
      <c r="NKO368" s="357"/>
      <c r="NKP368" s="67"/>
      <c r="NKQ368" s="67"/>
      <c r="NKS368" s="357"/>
      <c r="NKT368" s="67"/>
      <c r="NKU368" s="67"/>
      <c r="NKW368" s="357"/>
      <c r="NKX368" s="67"/>
      <c r="NKY368" s="67"/>
      <c r="NLA368" s="357"/>
      <c r="NLB368" s="67"/>
      <c r="NLC368" s="67"/>
      <c r="NLE368" s="357"/>
      <c r="NLF368" s="67"/>
      <c r="NLG368" s="67"/>
      <c r="NLI368" s="357"/>
      <c r="NLJ368" s="67"/>
      <c r="NLK368" s="67"/>
      <c r="NLM368" s="357"/>
      <c r="NLN368" s="67"/>
      <c r="NLO368" s="67"/>
      <c r="NLQ368" s="357"/>
      <c r="NLR368" s="67"/>
      <c r="NLS368" s="67"/>
      <c r="NLU368" s="357"/>
      <c r="NLV368" s="67"/>
      <c r="NLW368" s="67"/>
      <c r="NLY368" s="357"/>
      <c r="NLZ368" s="67"/>
      <c r="NMA368" s="67"/>
      <c r="NMC368" s="357"/>
      <c r="NMD368" s="67"/>
      <c r="NME368" s="67"/>
      <c r="NMG368" s="357"/>
      <c r="NMH368" s="67"/>
      <c r="NMI368" s="67"/>
      <c r="NMK368" s="357"/>
      <c r="NML368" s="67"/>
      <c r="NMM368" s="67"/>
      <c r="NMO368" s="357"/>
      <c r="NMP368" s="67"/>
      <c r="NMQ368" s="67"/>
      <c r="NMS368" s="357"/>
      <c r="NMT368" s="67"/>
      <c r="NMU368" s="67"/>
      <c r="NMW368" s="357"/>
      <c r="NMX368" s="67"/>
      <c r="NMY368" s="67"/>
      <c r="NNA368" s="357"/>
      <c r="NNB368" s="67"/>
      <c r="NNC368" s="67"/>
      <c r="NNE368" s="357"/>
      <c r="NNF368" s="67"/>
      <c r="NNG368" s="67"/>
      <c r="NNI368" s="357"/>
      <c r="NNJ368" s="67"/>
      <c r="NNK368" s="67"/>
      <c r="NNM368" s="357"/>
      <c r="NNN368" s="67"/>
      <c r="NNO368" s="67"/>
      <c r="NNQ368" s="357"/>
      <c r="NNR368" s="67"/>
      <c r="NNS368" s="67"/>
      <c r="NNU368" s="357"/>
      <c r="NNV368" s="67"/>
      <c r="NNW368" s="67"/>
      <c r="NNY368" s="357"/>
      <c r="NNZ368" s="67"/>
      <c r="NOA368" s="67"/>
      <c r="NOC368" s="357"/>
      <c r="NOD368" s="67"/>
      <c r="NOE368" s="67"/>
      <c r="NOG368" s="357"/>
      <c r="NOH368" s="67"/>
      <c r="NOI368" s="67"/>
      <c r="NOK368" s="357"/>
      <c r="NOL368" s="67"/>
      <c r="NOM368" s="67"/>
      <c r="NOO368" s="357"/>
      <c r="NOP368" s="67"/>
      <c r="NOQ368" s="67"/>
      <c r="NOS368" s="357"/>
      <c r="NOT368" s="67"/>
      <c r="NOU368" s="67"/>
      <c r="NOW368" s="357"/>
      <c r="NOX368" s="67"/>
      <c r="NOY368" s="67"/>
      <c r="NPA368" s="357"/>
      <c r="NPB368" s="67"/>
      <c r="NPC368" s="67"/>
      <c r="NPE368" s="357"/>
      <c r="NPF368" s="67"/>
      <c r="NPG368" s="67"/>
      <c r="NPI368" s="357"/>
      <c r="NPJ368" s="67"/>
      <c r="NPK368" s="67"/>
      <c r="NPM368" s="357"/>
      <c r="NPN368" s="67"/>
      <c r="NPO368" s="67"/>
      <c r="NPQ368" s="357"/>
      <c r="NPR368" s="67"/>
      <c r="NPS368" s="67"/>
      <c r="NPU368" s="357"/>
      <c r="NPV368" s="67"/>
      <c r="NPW368" s="67"/>
      <c r="NPY368" s="357"/>
      <c r="NPZ368" s="67"/>
      <c r="NQA368" s="67"/>
      <c r="NQC368" s="357"/>
      <c r="NQD368" s="67"/>
      <c r="NQE368" s="67"/>
      <c r="NQG368" s="357"/>
      <c r="NQH368" s="67"/>
      <c r="NQI368" s="67"/>
      <c r="NQK368" s="357"/>
      <c r="NQL368" s="67"/>
      <c r="NQM368" s="67"/>
      <c r="NQO368" s="357"/>
      <c r="NQP368" s="67"/>
      <c r="NQQ368" s="67"/>
      <c r="NQS368" s="357"/>
      <c r="NQT368" s="67"/>
      <c r="NQU368" s="67"/>
      <c r="NQW368" s="357"/>
      <c r="NQX368" s="67"/>
      <c r="NQY368" s="67"/>
      <c r="NRA368" s="357"/>
      <c r="NRB368" s="67"/>
      <c r="NRC368" s="67"/>
      <c r="NRE368" s="357"/>
      <c r="NRF368" s="67"/>
      <c r="NRG368" s="67"/>
      <c r="NRI368" s="357"/>
      <c r="NRJ368" s="67"/>
      <c r="NRK368" s="67"/>
      <c r="NRM368" s="357"/>
      <c r="NRN368" s="67"/>
      <c r="NRO368" s="67"/>
      <c r="NRQ368" s="357"/>
      <c r="NRR368" s="67"/>
      <c r="NRS368" s="67"/>
      <c r="NRU368" s="357"/>
      <c r="NRV368" s="67"/>
      <c r="NRW368" s="67"/>
      <c r="NRY368" s="357"/>
      <c r="NRZ368" s="67"/>
      <c r="NSA368" s="67"/>
      <c r="NSC368" s="357"/>
      <c r="NSD368" s="67"/>
      <c r="NSE368" s="67"/>
      <c r="NSG368" s="357"/>
      <c r="NSH368" s="67"/>
      <c r="NSI368" s="67"/>
      <c r="NSK368" s="357"/>
      <c r="NSL368" s="67"/>
      <c r="NSM368" s="67"/>
      <c r="NSO368" s="357"/>
      <c r="NSP368" s="67"/>
      <c r="NSQ368" s="67"/>
      <c r="NSS368" s="357"/>
      <c r="NST368" s="67"/>
      <c r="NSU368" s="67"/>
      <c r="NSW368" s="357"/>
      <c r="NSX368" s="67"/>
      <c r="NSY368" s="67"/>
      <c r="NTA368" s="357"/>
      <c r="NTB368" s="67"/>
      <c r="NTC368" s="67"/>
      <c r="NTE368" s="357"/>
      <c r="NTF368" s="67"/>
      <c r="NTG368" s="67"/>
      <c r="NTI368" s="357"/>
      <c r="NTJ368" s="67"/>
      <c r="NTK368" s="67"/>
      <c r="NTM368" s="357"/>
      <c r="NTN368" s="67"/>
      <c r="NTO368" s="67"/>
      <c r="NTQ368" s="357"/>
      <c r="NTR368" s="67"/>
      <c r="NTS368" s="67"/>
      <c r="NTU368" s="357"/>
      <c r="NTV368" s="67"/>
      <c r="NTW368" s="67"/>
      <c r="NTY368" s="357"/>
      <c r="NTZ368" s="67"/>
      <c r="NUA368" s="67"/>
      <c r="NUC368" s="357"/>
      <c r="NUD368" s="67"/>
      <c r="NUE368" s="67"/>
      <c r="NUG368" s="357"/>
      <c r="NUH368" s="67"/>
      <c r="NUI368" s="67"/>
      <c r="NUK368" s="357"/>
      <c r="NUL368" s="67"/>
      <c r="NUM368" s="67"/>
      <c r="NUO368" s="357"/>
      <c r="NUP368" s="67"/>
      <c r="NUQ368" s="67"/>
      <c r="NUS368" s="357"/>
      <c r="NUT368" s="67"/>
      <c r="NUU368" s="67"/>
      <c r="NUW368" s="357"/>
      <c r="NUX368" s="67"/>
      <c r="NUY368" s="67"/>
      <c r="NVA368" s="357"/>
      <c r="NVB368" s="67"/>
      <c r="NVC368" s="67"/>
      <c r="NVE368" s="357"/>
      <c r="NVF368" s="67"/>
      <c r="NVG368" s="67"/>
      <c r="NVI368" s="357"/>
      <c r="NVJ368" s="67"/>
      <c r="NVK368" s="67"/>
      <c r="NVM368" s="357"/>
      <c r="NVN368" s="67"/>
      <c r="NVO368" s="67"/>
      <c r="NVQ368" s="357"/>
      <c r="NVR368" s="67"/>
      <c r="NVS368" s="67"/>
      <c r="NVU368" s="357"/>
      <c r="NVV368" s="67"/>
      <c r="NVW368" s="67"/>
      <c r="NVY368" s="357"/>
      <c r="NVZ368" s="67"/>
      <c r="NWA368" s="67"/>
      <c r="NWC368" s="357"/>
      <c r="NWD368" s="67"/>
      <c r="NWE368" s="67"/>
      <c r="NWG368" s="357"/>
      <c r="NWH368" s="67"/>
      <c r="NWI368" s="67"/>
      <c r="NWK368" s="357"/>
      <c r="NWL368" s="67"/>
      <c r="NWM368" s="67"/>
      <c r="NWO368" s="357"/>
      <c r="NWP368" s="67"/>
      <c r="NWQ368" s="67"/>
      <c r="NWS368" s="357"/>
      <c r="NWT368" s="67"/>
      <c r="NWU368" s="67"/>
      <c r="NWW368" s="357"/>
      <c r="NWX368" s="67"/>
      <c r="NWY368" s="67"/>
      <c r="NXA368" s="357"/>
      <c r="NXB368" s="67"/>
      <c r="NXC368" s="67"/>
      <c r="NXE368" s="357"/>
      <c r="NXF368" s="67"/>
      <c r="NXG368" s="67"/>
      <c r="NXI368" s="357"/>
      <c r="NXJ368" s="67"/>
      <c r="NXK368" s="67"/>
      <c r="NXM368" s="357"/>
      <c r="NXN368" s="67"/>
      <c r="NXO368" s="67"/>
      <c r="NXQ368" s="357"/>
      <c r="NXR368" s="67"/>
      <c r="NXS368" s="67"/>
      <c r="NXU368" s="357"/>
      <c r="NXV368" s="67"/>
      <c r="NXW368" s="67"/>
      <c r="NXY368" s="357"/>
      <c r="NXZ368" s="67"/>
      <c r="NYA368" s="67"/>
      <c r="NYC368" s="357"/>
      <c r="NYD368" s="67"/>
      <c r="NYE368" s="67"/>
      <c r="NYG368" s="357"/>
      <c r="NYH368" s="67"/>
      <c r="NYI368" s="67"/>
      <c r="NYK368" s="357"/>
      <c r="NYL368" s="67"/>
      <c r="NYM368" s="67"/>
      <c r="NYO368" s="357"/>
      <c r="NYP368" s="67"/>
      <c r="NYQ368" s="67"/>
      <c r="NYS368" s="357"/>
      <c r="NYT368" s="67"/>
      <c r="NYU368" s="67"/>
      <c r="NYW368" s="357"/>
      <c r="NYX368" s="67"/>
      <c r="NYY368" s="67"/>
      <c r="NZA368" s="357"/>
      <c r="NZB368" s="67"/>
      <c r="NZC368" s="67"/>
      <c r="NZE368" s="357"/>
      <c r="NZF368" s="67"/>
      <c r="NZG368" s="67"/>
      <c r="NZI368" s="357"/>
      <c r="NZJ368" s="67"/>
      <c r="NZK368" s="67"/>
      <c r="NZM368" s="357"/>
      <c r="NZN368" s="67"/>
      <c r="NZO368" s="67"/>
      <c r="NZQ368" s="357"/>
      <c r="NZR368" s="67"/>
      <c r="NZS368" s="67"/>
      <c r="NZU368" s="357"/>
      <c r="NZV368" s="67"/>
      <c r="NZW368" s="67"/>
      <c r="NZY368" s="357"/>
      <c r="NZZ368" s="67"/>
      <c r="OAA368" s="67"/>
      <c r="OAC368" s="357"/>
      <c r="OAD368" s="67"/>
      <c r="OAE368" s="67"/>
      <c r="OAG368" s="357"/>
      <c r="OAH368" s="67"/>
      <c r="OAI368" s="67"/>
      <c r="OAK368" s="357"/>
      <c r="OAL368" s="67"/>
      <c r="OAM368" s="67"/>
      <c r="OAO368" s="357"/>
      <c r="OAP368" s="67"/>
      <c r="OAQ368" s="67"/>
      <c r="OAS368" s="357"/>
      <c r="OAT368" s="67"/>
      <c r="OAU368" s="67"/>
      <c r="OAW368" s="357"/>
      <c r="OAX368" s="67"/>
      <c r="OAY368" s="67"/>
      <c r="OBA368" s="357"/>
      <c r="OBB368" s="67"/>
      <c r="OBC368" s="67"/>
      <c r="OBE368" s="357"/>
      <c r="OBF368" s="67"/>
      <c r="OBG368" s="67"/>
      <c r="OBI368" s="357"/>
      <c r="OBJ368" s="67"/>
      <c r="OBK368" s="67"/>
      <c r="OBM368" s="357"/>
      <c r="OBN368" s="67"/>
      <c r="OBO368" s="67"/>
      <c r="OBQ368" s="357"/>
      <c r="OBR368" s="67"/>
      <c r="OBS368" s="67"/>
      <c r="OBU368" s="357"/>
      <c r="OBV368" s="67"/>
      <c r="OBW368" s="67"/>
      <c r="OBY368" s="357"/>
      <c r="OBZ368" s="67"/>
      <c r="OCA368" s="67"/>
      <c r="OCC368" s="357"/>
      <c r="OCD368" s="67"/>
      <c r="OCE368" s="67"/>
      <c r="OCG368" s="357"/>
      <c r="OCH368" s="67"/>
      <c r="OCI368" s="67"/>
      <c r="OCK368" s="357"/>
      <c r="OCL368" s="67"/>
      <c r="OCM368" s="67"/>
      <c r="OCO368" s="357"/>
      <c r="OCP368" s="67"/>
      <c r="OCQ368" s="67"/>
      <c r="OCS368" s="357"/>
      <c r="OCT368" s="67"/>
      <c r="OCU368" s="67"/>
      <c r="OCW368" s="357"/>
      <c r="OCX368" s="67"/>
      <c r="OCY368" s="67"/>
      <c r="ODA368" s="357"/>
      <c r="ODB368" s="67"/>
      <c r="ODC368" s="67"/>
      <c r="ODE368" s="357"/>
      <c r="ODF368" s="67"/>
      <c r="ODG368" s="67"/>
      <c r="ODI368" s="357"/>
      <c r="ODJ368" s="67"/>
      <c r="ODK368" s="67"/>
      <c r="ODM368" s="357"/>
      <c r="ODN368" s="67"/>
      <c r="ODO368" s="67"/>
      <c r="ODQ368" s="357"/>
      <c r="ODR368" s="67"/>
      <c r="ODS368" s="67"/>
      <c r="ODU368" s="357"/>
      <c r="ODV368" s="67"/>
      <c r="ODW368" s="67"/>
      <c r="ODY368" s="357"/>
      <c r="ODZ368" s="67"/>
      <c r="OEA368" s="67"/>
      <c r="OEC368" s="357"/>
      <c r="OED368" s="67"/>
      <c r="OEE368" s="67"/>
      <c r="OEG368" s="357"/>
      <c r="OEH368" s="67"/>
      <c r="OEI368" s="67"/>
      <c r="OEK368" s="357"/>
      <c r="OEL368" s="67"/>
      <c r="OEM368" s="67"/>
      <c r="OEO368" s="357"/>
      <c r="OEP368" s="67"/>
      <c r="OEQ368" s="67"/>
      <c r="OES368" s="357"/>
      <c r="OET368" s="67"/>
      <c r="OEU368" s="67"/>
      <c r="OEW368" s="357"/>
      <c r="OEX368" s="67"/>
      <c r="OEY368" s="67"/>
      <c r="OFA368" s="357"/>
      <c r="OFB368" s="67"/>
      <c r="OFC368" s="67"/>
      <c r="OFE368" s="357"/>
      <c r="OFF368" s="67"/>
      <c r="OFG368" s="67"/>
      <c r="OFI368" s="357"/>
      <c r="OFJ368" s="67"/>
      <c r="OFK368" s="67"/>
      <c r="OFM368" s="357"/>
      <c r="OFN368" s="67"/>
      <c r="OFO368" s="67"/>
      <c r="OFQ368" s="357"/>
      <c r="OFR368" s="67"/>
      <c r="OFS368" s="67"/>
      <c r="OFU368" s="357"/>
      <c r="OFV368" s="67"/>
      <c r="OFW368" s="67"/>
      <c r="OFY368" s="357"/>
      <c r="OFZ368" s="67"/>
      <c r="OGA368" s="67"/>
      <c r="OGC368" s="357"/>
      <c r="OGD368" s="67"/>
      <c r="OGE368" s="67"/>
      <c r="OGG368" s="357"/>
      <c r="OGH368" s="67"/>
      <c r="OGI368" s="67"/>
      <c r="OGK368" s="357"/>
      <c r="OGL368" s="67"/>
      <c r="OGM368" s="67"/>
      <c r="OGO368" s="357"/>
      <c r="OGP368" s="67"/>
      <c r="OGQ368" s="67"/>
      <c r="OGS368" s="357"/>
      <c r="OGT368" s="67"/>
      <c r="OGU368" s="67"/>
      <c r="OGW368" s="357"/>
      <c r="OGX368" s="67"/>
      <c r="OGY368" s="67"/>
      <c r="OHA368" s="357"/>
      <c r="OHB368" s="67"/>
      <c r="OHC368" s="67"/>
      <c r="OHE368" s="357"/>
      <c r="OHF368" s="67"/>
      <c r="OHG368" s="67"/>
      <c r="OHI368" s="357"/>
      <c r="OHJ368" s="67"/>
      <c r="OHK368" s="67"/>
      <c r="OHM368" s="357"/>
      <c r="OHN368" s="67"/>
      <c r="OHO368" s="67"/>
      <c r="OHQ368" s="357"/>
      <c r="OHR368" s="67"/>
      <c r="OHS368" s="67"/>
      <c r="OHU368" s="357"/>
      <c r="OHV368" s="67"/>
      <c r="OHW368" s="67"/>
      <c r="OHY368" s="357"/>
      <c r="OHZ368" s="67"/>
      <c r="OIA368" s="67"/>
      <c r="OIC368" s="357"/>
      <c r="OID368" s="67"/>
      <c r="OIE368" s="67"/>
      <c r="OIG368" s="357"/>
      <c r="OIH368" s="67"/>
      <c r="OII368" s="67"/>
      <c r="OIK368" s="357"/>
      <c r="OIL368" s="67"/>
      <c r="OIM368" s="67"/>
      <c r="OIO368" s="357"/>
      <c r="OIP368" s="67"/>
      <c r="OIQ368" s="67"/>
      <c r="OIS368" s="357"/>
      <c r="OIT368" s="67"/>
      <c r="OIU368" s="67"/>
      <c r="OIW368" s="357"/>
      <c r="OIX368" s="67"/>
      <c r="OIY368" s="67"/>
      <c r="OJA368" s="357"/>
      <c r="OJB368" s="67"/>
      <c r="OJC368" s="67"/>
      <c r="OJE368" s="357"/>
      <c r="OJF368" s="67"/>
      <c r="OJG368" s="67"/>
      <c r="OJI368" s="357"/>
      <c r="OJJ368" s="67"/>
      <c r="OJK368" s="67"/>
      <c r="OJM368" s="357"/>
      <c r="OJN368" s="67"/>
      <c r="OJO368" s="67"/>
      <c r="OJQ368" s="357"/>
      <c r="OJR368" s="67"/>
      <c r="OJS368" s="67"/>
      <c r="OJU368" s="357"/>
      <c r="OJV368" s="67"/>
      <c r="OJW368" s="67"/>
      <c r="OJY368" s="357"/>
      <c r="OJZ368" s="67"/>
      <c r="OKA368" s="67"/>
      <c r="OKC368" s="357"/>
      <c r="OKD368" s="67"/>
      <c r="OKE368" s="67"/>
      <c r="OKG368" s="357"/>
      <c r="OKH368" s="67"/>
      <c r="OKI368" s="67"/>
      <c r="OKK368" s="357"/>
      <c r="OKL368" s="67"/>
      <c r="OKM368" s="67"/>
      <c r="OKO368" s="357"/>
      <c r="OKP368" s="67"/>
      <c r="OKQ368" s="67"/>
      <c r="OKS368" s="357"/>
      <c r="OKT368" s="67"/>
      <c r="OKU368" s="67"/>
      <c r="OKW368" s="357"/>
      <c r="OKX368" s="67"/>
      <c r="OKY368" s="67"/>
      <c r="OLA368" s="357"/>
      <c r="OLB368" s="67"/>
      <c r="OLC368" s="67"/>
      <c r="OLE368" s="357"/>
      <c r="OLF368" s="67"/>
      <c r="OLG368" s="67"/>
      <c r="OLI368" s="357"/>
      <c r="OLJ368" s="67"/>
      <c r="OLK368" s="67"/>
      <c r="OLM368" s="357"/>
      <c r="OLN368" s="67"/>
      <c r="OLO368" s="67"/>
      <c r="OLQ368" s="357"/>
      <c r="OLR368" s="67"/>
      <c r="OLS368" s="67"/>
      <c r="OLU368" s="357"/>
      <c r="OLV368" s="67"/>
      <c r="OLW368" s="67"/>
      <c r="OLY368" s="357"/>
      <c r="OLZ368" s="67"/>
      <c r="OMA368" s="67"/>
      <c r="OMC368" s="357"/>
      <c r="OMD368" s="67"/>
      <c r="OME368" s="67"/>
      <c r="OMG368" s="357"/>
      <c r="OMH368" s="67"/>
      <c r="OMI368" s="67"/>
      <c r="OMK368" s="357"/>
      <c r="OML368" s="67"/>
      <c r="OMM368" s="67"/>
      <c r="OMO368" s="357"/>
      <c r="OMP368" s="67"/>
      <c r="OMQ368" s="67"/>
      <c r="OMS368" s="357"/>
      <c r="OMT368" s="67"/>
      <c r="OMU368" s="67"/>
      <c r="OMW368" s="357"/>
      <c r="OMX368" s="67"/>
      <c r="OMY368" s="67"/>
      <c r="ONA368" s="357"/>
      <c r="ONB368" s="67"/>
      <c r="ONC368" s="67"/>
      <c r="ONE368" s="357"/>
      <c r="ONF368" s="67"/>
      <c r="ONG368" s="67"/>
      <c r="ONI368" s="357"/>
      <c r="ONJ368" s="67"/>
      <c r="ONK368" s="67"/>
      <c r="ONM368" s="357"/>
      <c r="ONN368" s="67"/>
      <c r="ONO368" s="67"/>
      <c r="ONQ368" s="357"/>
      <c r="ONR368" s="67"/>
      <c r="ONS368" s="67"/>
      <c r="ONU368" s="357"/>
      <c r="ONV368" s="67"/>
      <c r="ONW368" s="67"/>
      <c r="ONY368" s="357"/>
      <c r="ONZ368" s="67"/>
      <c r="OOA368" s="67"/>
      <c r="OOC368" s="357"/>
      <c r="OOD368" s="67"/>
      <c r="OOE368" s="67"/>
      <c r="OOG368" s="357"/>
      <c r="OOH368" s="67"/>
      <c r="OOI368" s="67"/>
      <c r="OOK368" s="357"/>
      <c r="OOL368" s="67"/>
      <c r="OOM368" s="67"/>
      <c r="OOO368" s="357"/>
      <c r="OOP368" s="67"/>
      <c r="OOQ368" s="67"/>
      <c r="OOS368" s="357"/>
      <c r="OOT368" s="67"/>
      <c r="OOU368" s="67"/>
      <c r="OOW368" s="357"/>
      <c r="OOX368" s="67"/>
      <c r="OOY368" s="67"/>
      <c r="OPA368" s="357"/>
      <c r="OPB368" s="67"/>
      <c r="OPC368" s="67"/>
      <c r="OPE368" s="357"/>
      <c r="OPF368" s="67"/>
      <c r="OPG368" s="67"/>
      <c r="OPI368" s="357"/>
      <c r="OPJ368" s="67"/>
      <c r="OPK368" s="67"/>
      <c r="OPM368" s="357"/>
      <c r="OPN368" s="67"/>
      <c r="OPO368" s="67"/>
      <c r="OPQ368" s="357"/>
      <c r="OPR368" s="67"/>
      <c r="OPS368" s="67"/>
      <c r="OPU368" s="357"/>
      <c r="OPV368" s="67"/>
      <c r="OPW368" s="67"/>
      <c r="OPY368" s="357"/>
      <c r="OPZ368" s="67"/>
      <c r="OQA368" s="67"/>
      <c r="OQC368" s="357"/>
      <c r="OQD368" s="67"/>
      <c r="OQE368" s="67"/>
      <c r="OQG368" s="357"/>
      <c r="OQH368" s="67"/>
      <c r="OQI368" s="67"/>
      <c r="OQK368" s="357"/>
      <c r="OQL368" s="67"/>
      <c r="OQM368" s="67"/>
      <c r="OQO368" s="357"/>
      <c r="OQP368" s="67"/>
      <c r="OQQ368" s="67"/>
      <c r="OQS368" s="357"/>
      <c r="OQT368" s="67"/>
      <c r="OQU368" s="67"/>
      <c r="OQW368" s="357"/>
      <c r="OQX368" s="67"/>
      <c r="OQY368" s="67"/>
      <c r="ORA368" s="357"/>
      <c r="ORB368" s="67"/>
      <c r="ORC368" s="67"/>
      <c r="ORE368" s="357"/>
      <c r="ORF368" s="67"/>
      <c r="ORG368" s="67"/>
      <c r="ORI368" s="357"/>
      <c r="ORJ368" s="67"/>
      <c r="ORK368" s="67"/>
      <c r="ORM368" s="357"/>
      <c r="ORN368" s="67"/>
      <c r="ORO368" s="67"/>
      <c r="ORQ368" s="357"/>
      <c r="ORR368" s="67"/>
      <c r="ORS368" s="67"/>
      <c r="ORU368" s="357"/>
      <c r="ORV368" s="67"/>
      <c r="ORW368" s="67"/>
      <c r="ORY368" s="357"/>
      <c r="ORZ368" s="67"/>
      <c r="OSA368" s="67"/>
      <c r="OSC368" s="357"/>
      <c r="OSD368" s="67"/>
      <c r="OSE368" s="67"/>
      <c r="OSG368" s="357"/>
      <c r="OSH368" s="67"/>
      <c r="OSI368" s="67"/>
      <c r="OSK368" s="357"/>
      <c r="OSL368" s="67"/>
      <c r="OSM368" s="67"/>
      <c r="OSO368" s="357"/>
      <c r="OSP368" s="67"/>
      <c r="OSQ368" s="67"/>
      <c r="OSS368" s="357"/>
      <c r="OST368" s="67"/>
      <c r="OSU368" s="67"/>
      <c r="OSW368" s="357"/>
      <c r="OSX368" s="67"/>
      <c r="OSY368" s="67"/>
      <c r="OTA368" s="357"/>
      <c r="OTB368" s="67"/>
      <c r="OTC368" s="67"/>
      <c r="OTE368" s="357"/>
      <c r="OTF368" s="67"/>
      <c r="OTG368" s="67"/>
      <c r="OTI368" s="357"/>
      <c r="OTJ368" s="67"/>
      <c r="OTK368" s="67"/>
      <c r="OTM368" s="357"/>
      <c r="OTN368" s="67"/>
      <c r="OTO368" s="67"/>
      <c r="OTQ368" s="357"/>
      <c r="OTR368" s="67"/>
      <c r="OTS368" s="67"/>
      <c r="OTU368" s="357"/>
      <c r="OTV368" s="67"/>
      <c r="OTW368" s="67"/>
      <c r="OTY368" s="357"/>
      <c r="OTZ368" s="67"/>
      <c r="OUA368" s="67"/>
      <c r="OUC368" s="357"/>
      <c r="OUD368" s="67"/>
      <c r="OUE368" s="67"/>
      <c r="OUG368" s="357"/>
      <c r="OUH368" s="67"/>
      <c r="OUI368" s="67"/>
      <c r="OUK368" s="357"/>
      <c r="OUL368" s="67"/>
      <c r="OUM368" s="67"/>
      <c r="OUO368" s="357"/>
      <c r="OUP368" s="67"/>
      <c r="OUQ368" s="67"/>
      <c r="OUS368" s="357"/>
      <c r="OUT368" s="67"/>
      <c r="OUU368" s="67"/>
      <c r="OUW368" s="357"/>
      <c r="OUX368" s="67"/>
      <c r="OUY368" s="67"/>
      <c r="OVA368" s="357"/>
      <c r="OVB368" s="67"/>
      <c r="OVC368" s="67"/>
      <c r="OVE368" s="357"/>
      <c r="OVF368" s="67"/>
      <c r="OVG368" s="67"/>
      <c r="OVI368" s="357"/>
      <c r="OVJ368" s="67"/>
      <c r="OVK368" s="67"/>
      <c r="OVM368" s="357"/>
      <c r="OVN368" s="67"/>
      <c r="OVO368" s="67"/>
      <c r="OVQ368" s="357"/>
      <c r="OVR368" s="67"/>
      <c r="OVS368" s="67"/>
      <c r="OVU368" s="357"/>
      <c r="OVV368" s="67"/>
      <c r="OVW368" s="67"/>
      <c r="OVY368" s="357"/>
      <c r="OVZ368" s="67"/>
      <c r="OWA368" s="67"/>
      <c r="OWC368" s="357"/>
      <c r="OWD368" s="67"/>
      <c r="OWE368" s="67"/>
      <c r="OWG368" s="357"/>
      <c r="OWH368" s="67"/>
      <c r="OWI368" s="67"/>
      <c r="OWK368" s="357"/>
      <c r="OWL368" s="67"/>
      <c r="OWM368" s="67"/>
      <c r="OWO368" s="357"/>
      <c r="OWP368" s="67"/>
      <c r="OWQ368" s="67"/>
      <c r="OWS368" s="357"/>
      <c r="OWT368" s="67"/>
      <c r="OWU368" s="67"/>
      <c r="OWW368" s="357"/>
      <c r="OWX368" s="67"/>
      <c r="OWY368" s="67"/>
      <c r="OXA368" s="357"/>
      <c r="OXB368" s="67"/>
      <c r="OXC368" s="67"/>
      <c r="OXE368" s="357"/>
      <c r="OXF368" s="67"/>
      <c r="OXG368" s="67"/>
      <c r="OXI368" s="357"/>
      <c r="OXJ368" s="67"/>
      <c r="OXK368" s="67"/>
      <c r="OXM368" s="357"/>
      <c r="OXN368" s="67"/>
      <c r="OXO368" s="67"/>
      <c r="OXQ368" s="357"/>
      <c r="OXR368" s="67"/>
      <c r="OXS368" s="67"/>
      <c r="OXU368" s="357"/>
      <c r="OXV368" s="67"/>
      <c r="OXW368" s="67"/>
      <c r="OXY368" s="357"/>
      <c r="OXZ368" s="67"/>
      <c r="OYA368" s="67"/>
      <c r="OYC368" s="357"/>
      <c r="OYD368" s="67"/>
      <c r="OYE368" s="67"/>
      <c r="OYG368" s="357"/>
      <c r="OYH368" s="67"/>
      <c r="OYI368" s="67"/>
      <c r="OYK368" s="357"/>
      <c r="OYL368" s="67"/>
      <c r="OYM368" s="67"/>
      <c r="OYO368" s="357"/>
      <c r="OYP368" s="67"/>
      <c r="OYQ368" s="67"/>
      <c r="OYS368" s="357"/>
      <c r="OYT368" s="67"/>
      <c r="OYU368" s="67"/>
      <c r="OYW368" s="357"/>
      <c r="OYX368" s="67"/>
      <c r="OYY368" s="67"/>
      <c r="OZA368" s="357"/>
      <c r="OZB368" s="67"/>
      <c r="OZC368" s="67"/>
      <c r="OZE368" s="357"/>
      <c r="OZF368" s="67"/>
      <c r="OZG368" s="67"/>
      <c r="OZI368" s="357"/>
      <c r="OZJ368" s="67"/>
      <c r="OZK368" s="67"/>
      <c r="OZM368" s="357"/>
      <c r="OZN368" s="67"/>
      <c r="OZO368" s="67"/>
      <c r="OZQ368" s="357"/>
      <c r="OZR368" s="67"/>
      <c r="OZS368" s="67"/>
      <c r="OZU368" s="357"/>
      <c r="OZV368" s="67"/>
      <c r="OZW368" s="67"/>
      <c r="OZY368" s="357"/>
      <c r="OZZ368" s="67"/>
      <c r="PAA368" s="67"/>
      <c r="PAC368" s="357"/>
      <c r="PAD368" s="67"/>
      <c r="PAE368" s="67"/>
      <c r="PAG368" s="357"/>
      <c r="PAH368" s="67"/>
      <c r="PAI368" s="67"/>
      <c r="PAK368" s="357"/>
      <c r="PAL368" s="67"/>
      <c r="PAM368" s="67"/>
      <c r="PAO368" s="357"/>
      <c r="PAP368" s="67"/>
      <c r="PAQ368" s="67"/>
      <c r="PAS368" s="357"/>
      <c r="PAT368" s="67"/>
      <c r="PAU368" s="67"/>
      <c r="PAW368" s="357"/>
      <c r="PAX368" s="67"/>
      <c r="PAY368" s="67"/>
      <c r="PBA368" s="357"/>
      <c r="PBB368" s="67"/>
      <c r="PBC368" s="67"/>
      <c r="PBE368" s="357"/>
      <c r="PBF368" s="67"/>
      <c r="PBG368" s="67"/>
      <c r="PBI368" s="357"/>
      <c r="PBJ368" s="67"/>
      <c r="PBK368" s="67"/>
      <c r="PBM368" s="357"/>
      <c r="PBN368" s="67"/>
      <c r="PBO368" s="67"/>
      <c r="PBQ368" s="357"/>
      <c r="PBR368" s="67"/>
      <c r="PBS368" s="67"/>
      <c r="PBU368" s="357"/>
      <c r="PBV368" s="67"/>
      <c r="PBW368" s="67"/>
      <c r="PBY368" s="357"/>
      <c r="PBZ368" s="67"/>
      <c r="PCA368" s="67"/>
      <c r="PCC368" s="357"/>
      <c r="PCD368" s="67"/>
      <c r="PCE368" s="67"/>
      <c r="PCG368" s="357"/>
      <c r="PCH368" s="67"/>
      <c r="PCI368" s="67"/>
      <c r="PCK368" s="357"/>
      <c r="PCL368" s="67"/>
      <c r="PCM368" s="67"/>
      <c r="PCO368" s="357"/>
      <c r="PCP368" s="67"/>
      <c r="PCQ368" s="67"/>
      <c r="PCS368" s="357"/>
      <c r="PCT368" s="67"/>
      <c r="PCU368" s="67"/>
      <c r="PCW368" s="357"/>
      <c r="PCX368" s="67"/>
      <c r="PCY368" s="67"/>
      <c r="PDA368" s="357"/>
      <c r="PDB368" s="67"/>
      <c r="PDC368" s="67"/>
      <c r="PDE368" s="357"/>
      <c r="PDF368" s="67"/>
      <c r="PDG368" s="67"/>
      <c r="PDI368" s="357"/>
      <c r="PDJ368" s="67"/>
      <c r="PDK368" s="67"/>
      <c r="PDM368" s="357"/>
      <c r="PDN368" s="67"/>
      <c r="PDO368" s="67"/>
      <c r="PDQ368" s="357"/>
      <c r="PDR368" s="67"/>
      <c r="PDS368" s="67"/>
      <c r="PDU368" s="357"/>
      <c r="PDV368" s="67"/>
      <c r="PDW368" s="67"/>
      <c r="PDY368" s="357"/>
      <c r="PDZ368" s="67"/>
      <c r="PEA368" s="67"/>
      <c r="PEC368" s="357"/>
      <c r="PED368" s="67"/>
      <c r="PEE368" s="67"/>
      <c r="PEG368" s="357"/>
      <c r="PEH368" s="67"/>
      <c r="PEI368" s="67"/>
      <c r="PEK368" s="357"/>
      <c r="PEL368" s="67"/>
      <c r="PEM368" s="67"/>
      <c r="PEO368" s="357"/>
      <c r="PEP368" s="67"/>
      <c r="PEQ368" s="67"/>
      <c r="PES368" s="357"/>
      <c r="PET368" s="67"/>
      <c r="PEU368" s="67"/>
      <c r="PEW368" s="357"/>
      <c r="PEX368" s="67"/>
      <c r="PEY368" s="67"/>
      <c r="PFA368" s="357"/>
      <c r="PFB368" s="67"/>
      <c r="PFC368" s="67"/>
      <c r="PFE368" s="357"/>
      <c r="PFF368" s="67"/>
      <c r="PFG368" s="67"/>
      <c r="PFI368" s="357"/>
      <c r="PFJ368" s="67"/>
      <c r="PFK368" s="67"/>
      <c r="PFM368" s="357"/>
      <c r="PFN368" s="67"/>
      <c r="PFO368" s="67"/>
      <c r="PFQ368" s="357"/>
      <c r="PFR368" s="67"/>
      <c r="PFS368" s="67"/>
      <c r="PFU368" s="357"/>
      <c r="PFV368" s="67"/>
      <c r="PFW368" s="67"/>
      <c r="PFY368" s="357"/>
      <c r="PFZ368" s="67"/>
      <c r="PGA368" s="67"/>
      <c r="PGC368" s="357"/>
      <c r="PGD368" s="67"/>
      <c r="PGE368" s="67"/>
      <c r="PGG368" s="357"/>
      <c r="PGH368" s="67"/>
      <c r="PGI368" s="67"/>
      <c r="PGK368" s="357"/>
      <c r="PGL368" s="67"/>
      <c r="PGM368" s="67"/>
      <c r="PGO368" s="357"/>
      <c r="PGP368" s="67"/>
      <c r="PGQ368" s="67"/>
      <c r="PGS368" s="357"/>
      <c r="PGT368" s="67"/>
      <c r="PGU368" s="67"/>
      <c r="PGW368" s="357"/>
      <c r="PGX368" s="67"/>
      <c r="PGY368" s="67"/>
      <c r="PHA368" s="357"/>
      <c r="PHB368" s="67"/>
      <c r="PHC368" s="67"/>
      <c r="PHE368" s="357"/>
      <c r="PHF368" s="67"/>
      <c r="PHG368" s="67"/>
      <c r="PHI368" s="357"/>
      <c r="PHJ368" s="67"/>
      <c r="PHK368" s="67"/>
      <c r="PHM368" s="357"/>
      <c r="PHN368" s="67"/>
      <c r="PHO368" s="67"/>
      <c r="PHQ368" s="357"/>
      <c r="PHR368" s="67"/>
      <c r="PHS368" s="67"/>
      <c r="PHU368" s="357"/>
      <c r="PHV368" s="67"/>
      <c r="PHW368" s="67"/>
      <c r="PHY368" s="357"/>
      <c r="PHZ368" s="67"/>
      <c r="PIA368" s="67"/>
      <c r="PIC368" s="357"/>
      <c r="PID368" s="67"/>
      <c r="PIE368" s="67"/>
      <c r="PIG368" s="357"/>
      <c r="PIH368" s="67"/>
      <c r="PII368" s="67"/>
      <c r="PIK368" s="357"/>
      <c r="PIL368" s="67"/>
      <c r="PIM368" s="67"/>
      <c r="PIO368" s="357"/>
      <c r="PIP368" s="67"/>
      <c r="PIQ368" s="67"/>
      <c r="PIS368" s="357"/>
      <c r="PIT368" s="67"/>
      <c r="PIU368" s="67"/>
      <c r="PIW368" s="357"/>
      <c r="PIX368" s="67"/>
      <c r="PIY368" s="67"/>
      <c r="PJA368" s="357"/>
      <c r="PJB368" s="67"/>
      <c r="PJC368" s="67"/>
      <c r="PJE368" s="357"/>
      <c r="PJF368" s="67"/>
      <c r="PJG368" s="67"/>
      <c r="PJI368" s="357"/>
      <c r="PJJ368" s="67"/>
      <c r="PJK368" s="67"/>
      <c r="PJM368" s="357"/>
      <c r="PJN368" s="67"/>
      <c r="PJO368" s="67"/>
      <c r="PJQ368" s="357"/>
      <c r="PJR368" s="67"/>
      <c r="PJS368" s="67"/>
      <c r="PJU368" s="357"/>
      <c r="PJV368" s="67"/>
      <c r="PJW368" s="67"/>
      <c r="PJY368" s="357"/>
      <c r="PJZ368" s="67"/>
      <c r="PKA368" s="67"/>
      <c r="PKC368" s="357"/>
      <c r="PKD368" s="67"/>
      <c r="PKE368" s="67"/>
      <c r="PKG368" s="357"/>
      <c r="PKH368" s="67"/>
      <c r="PKI368" s="67"/>
      <c r="PKK368" s="357"/>
      <c r="PKL368" s="67"/>
      <c r="PKM368" s="67"/>
      <c r="PKO368" s="357"/>
      <c r="PKP368" s="67"/>
      <c r="PKQ368" s="67"/>
      <c r="PKS368" s="357"/>
      <c r="PKT368" s="67"/>
      <c r="PKU368" s="67"/>
      <c r="PKW368" s="357"/>
      <c r="PKX368" s="67"/>
      <c r="PKY368" s="67"/>
      <c r="PLA368" s="357"/>
      <c r="PLB368" s="67"/>
      <c r="PLC368" s="67"/>
      <c r="PLE368" s="357"/>
      <c r="PLF368" s="67"/>
      <c r="PLG368" s="67"/>
      <c r="PLI368" s="357"/>
      <c r="PLJ368" s="67"/>
      <c r="PLK368" s="67"/>
      <c r="PLM368" s="357"/>
      <c r="PLN368" s="67"/>
      <c r="PLO368" s="67"/>
      <c r="PLQ368" s="357"/>
      <c r="PLR368" s="67"/>
      <c r="PLS368" s="67"/>
      <c r="PLU368" s="357"/>
      <c r="PLV368" s="67"/>
      <c r="PLW368" s="67"/>
      <c r="PLY368" s="357"/>
      <c r="PLZ368" s="67"/>
      <c r="PMA368" s="67"/>
      <c r="PMC368" s="357"/>
      <c r="PMD368" s="67"/>
      <c r="PME368" s="67"/>
      <c r="PMG368" s="357"/>
      <c r="PMH368" s="67"/>
      <c r="PMI368" s="67"/>
      <c r="PMK368" s="357"/>
      <c r="PML368" s="67"/>
      <c r="PMM368" s="67"/>
      <c r="PMO368" s="357"/>
      <c r="PMP368" s="67"/>
      <c r="PMQ368" s="67"/>
      <c r="PMS368" s="357"/>
      <c r="PMT368" s="67"/>
      <c r="PMU368" s="67"/>
      <c r="PMW368" s="357"/>
      <c r="PMX368" s="67"/>
      <c r="PMY368" s="67"/>
      <c r="PNA368" s="357"/>
      <c r="PNB368" s="67"/>
      <c r="PNC368" s="67"/>
      <c r="PNE368" s="357"/>
      <c r="PNF368" s="67"/>
      <c r="PNG368" s="67"/>
      <c r="PNI368" s="357"/>
      <c r="PNJ368" s="67"/>
      <c r="PNK368" s="67"/>
      <c r="PNM368" s="357"/>
      <c r="PNN368" s="67"/>
      <c r="PNO368" s="67"/>
      <c r="PNQ368" s="357"/>
      <c r="PNR368" s="67"/>
      <c r="PNS368" s="67"/>
      <c r="PNU368" s="357"/>
      <c r="PNV368" s="67"/>
      <c r="PNW368" s="67"/>
      <c r="PNY368" s="357"/>
      <c r="PNZ368" s="67"/>
      <c r="POA368" s="67"/>
      <c r="POC368" s="357"/>
      <c r="POD368" s="67"/>
      <c r="POE368" s="67"/>
      <c r="POG368" s="357"/>
      <c r="POH368" s="67"/>
      <c r="POI368" s="67"/>
      <c r="POK368" s="357"/>
      <c r="POL368" s="67"/>
      <c r="POM368" s="67"/>
      <c r="POO368" s="357"/>
      <c r="POP368" s="67"/>
      <c r="POQ368" s="67"/>
      <c r="POS368" s="357"/>
      <c r="POT368" s="67"/>
      <c r="POU368" s="67"/>
      <c r="POW368" s="357"/>
      <c r="POX368" s="67"/>
      <c r="POY368" s="67"/>
      <c r="PPA368" s="357"/>
      <c r="PPB368" s="67"/>
      <c r="PPC368" s="67"/>
      <c r="PPE368" s="357"/>
      <c r="PPF368" s="67"/>
      <c r="PPG368" s="67"/>
      <c r="PPI368" s="357"/>
      <c r="PPJ368" s="67"/>
      <c r="PPK368" s="67"/>
      <c r="PPM368" s="357"/>
      <c r="PPN368" s="67"/>
      <c r="PPO368" s="67"/>
      <c r="PPQ368" s="357"/>
      <c r="PPR368" s="67"/>
      <c r="PPS368" s="67"/>
      <c r="PPU368" s="357"/>
      <c r="PPV368" s="67"/>
      <c r="PPW368" s="67"/>
      <c r="PPY368" s="357"/>
      <c r="PPZ368" s="67"/>
      <c r="PQA368" s="67"/>
      <c r="PQC368" s="357"/>
      <c r="PQD368" s="67"/>
      <c r="PQE368" s="67"/>
      <c r="PQG368" s="357"/>
      <c r="PQH368" s="67"/>
      <c r="PQI368" s="67"/>
      <c r="PQK368" s="357"/>
      <c r="PQL368" s="67"/>
      <c r="PQM368" s="67"/>
      <c r="PQO368" s="357"/>
      <c r="PQP368" s="67"/>
      <c r="PQQ368" s="67"/>
      <c r="PQS368" s="357"/>
      <c r="PQT368" s="67"/>
      <c r="PQU368" s="67"/>
      <c r="PQW368" s="357"/>
      <c r="PQX368" s="67"/>
      <c r="PQY368" s="67"/>
      <c r="PRA368" s="357"/>
      <c r="PRB368" s="67"/>
      <c r="PRC368" s="67"/>
      <c r="PRE368" s="357"/>
      <c r="PRF368" s="67"/>
      <c r="PRG368" s="67"/>
      <c r="PRI368" s="357"/>
      <c r="PRJ368" s="67"/>
      <c r="PRK368" s="67"/>
      <c r="PRM368" s="357"/>
      <c r="PRN368" s="67"/>
      <c r="PRO368" s="67"/>
      <c r="PRQ368" s="357"/>
      <c r="PRR368" s="67"/>
      <c r="PRS368" s="67"/>
      <c r="PRU368" s="357"/>
      <c r="PRV368" s="67"/>
      <c r="PRW368" s="67"/>
      <c r="PRY368" s="357"/>
      <c r="PRZ368" s="67"/>
      <c r="PSA368" s="67"/>
      <c r="PSC368" s="357"/>
      <c r="PSD368" s="67"/>
      <c r="PSE368" s="67"/>
      <c r="PSG368" s="357"/>
      <c r="PSH368" s="67"/>
      <c r="PSI368" s="67"/>
      <c r="PSK368" s="357"/>
      <c r="PSL368" s="67"/>
      <c r="PSM368" s="67"/>
      <c r="PSO368" s="357"/>
      <c r="PSP368" s="67"/>
      <c r="PSQ368" s="67"/>
      <c r="PSS368" s="357"/>
      <c r="PST368" s="67"/>
      <c r="PSU368" s="67"/>
      <c r="PSW368" s="357"/>
      <c r="PSX368" s="67"/>
      <c r="PSY368" s="67"/>
      <c r="PTA368" s="357"/>
      <c r="PTB368" s="67"/>
      <c r="PTC368" s="67"/>
      <c r="PTE368" s="357"/>
      <c r="PTF368" s="67"/>
      <c r="PTG368" s="67"/>
      <c r="PTI368" s="357"/>
      <c r="PTJ368" s="67"/>
      <c r="PTK368" s="67"/>
      <c r="PTM368" s="357"/>
      <c r="PTN368" s="67"/>
      <c r="PTO368" s="67"/>
      <c r="PTQ368" s="357"/>
      <c r="PTR368" s="67"/>
      <c r="PTS368" s="67"/>
      <c r="PTU368" s="357"/>
      <c r="PTV368" s="67"/>
      <c r="PTW368" s="67"/>
      <c r="PTY368" s="357"/>
      <c r="PTZ368" s="67"/>
      <c r="PUA368" s="67"/>
      <c r="PUC368" s="357"/>
      <c r="PUD368" s="67"/>
      <c r="PUE368" s="67"/>
      <c r="PUG368" s="357"/>
      <c r="PUH368" s="67"/>
      <c r="PUI368" s="67"/>
      <c r="PUK368" s="357"/>
      <c r="PUL368" s="67"/>
      <c r="PUM368" s="67"/>
      <c r="PUO368" s="357"/>
      <c r="PUP368" s="67"/>
      <c r="PUQ368" s="67"/>
      <c r="PUS368" s="357"/>
      <c r="PUT368" s="67"/>
      <c r="PUU368" s="67"/>
      <c r="PUW368" s="357"/>
      <c r="PUX368" s="67"/>
      <c r="PUY368" s="67"/>
      <c r="PVA368" s="357"/>
      <c r="PVB368" s="67"/>
      <c r="PVC368" s="67"/>
      <c r="PVE368" s="357"/>
      <c r="PVF368" s="67"/>
      <c r="PVG368" s="67"/>
      <c r="PVI368" s="357"/>
      <c r="PVJ368" s="67"/>
      <c r="PVK368" s="67"/>
      <c r="PVM368" s="357"/>
      <c r="PVN368" s="67"/>
      <c r="PVO368" s="67"/>
      <c r="PVQ368" s="357"/>
      <c r="PVR368" s="67"/>
      <c r="PVS368" s="67"/>
      <c r="PVU368" s="357"/>
      <c r="PVV368" s="67"/>
      <c r="PVW368" s="67"/>
      <c r="PVY368" s="357"/>
      <c r="PVZ368" s="67"/>
      <c r="PWA368" s="67"/>
      <c r="PWC368" s="357"/>
      <c r="PWD368" s="67"/>
      <c r="PWE368" s="67"/>
      <c r="PWG368" s="357"/>
      <c r="PWH368" s="67"/>
      <c r="PWI368" s="67"/>
      <c r="PWK368" s="357"/>
      <c r="PWL368" s="67"/>
      <c r="PWM368" s="67"/>
      <c r="PWO368" s="357"/>
      <c r="PWP368" s="67"/>
      <c r="PWQ368" s="67"/>
      <c r="PWS368" s="357"/>
      <c r="PWT368" s="67"/>
      <c r="PWU368" s="67"/>
      <c r="PWW368" s="357"/>
      <c r="PWX368" s="67"/>
      <c r="PWY368" s="67"/>
      <c r="PXA368" s="357"/>
      <c r="PXB368" s="67"/>
      <c r="PXC368" s="67"/>
      <c r="PXE368" s="357"/>
      <c r="PXF368" s="67"/>
      <c r="PXG368" s="67"/>
      <c r="PXI368" s="357"/>
      <c r="PXJ368" s="67"/>
      <c r="PXK368" s="67"/>
      <c r="PXM368" s="357"/>
      <c r="PXN368" s="67"/>
      <c r="PXO368" s="67"/>
      <c r="PXQ368" s="357"/>
      <c r="PXR368" s="67"/>
      <c r="PXS368" s="67"/>
      <c r="PXU368" s="357"/>
      <c r="PXV368" s="67"/>
      <c r="PXW368" s="67"/>
      <c r="PXY368" s="357"/>
      <c r="PXZ368" s="67"/>
      <c r="PYA368" s="67"/>
      <c r="PYC368" s="357"/>
      <c r="PYD368" s="67"/>
      <c r="PYE368" s="67"/>
      <c r="PYG368" s="357"/>
      <c r="PYH368" s="67"/>
      <c r="PYI368" s="67"/>
      <c r="PYK368" s="357"/>
      <c r="PYL368" s="67"/>
      <c r="PYM368" s="67"/>
      <c r="PYO368" s="357"/>
      <c r="PYP368" s="67"/>
      <c r="PYQ368" s="67"/>
      <c r="PYS368" s="357"/>
      <c r="PYT368" s="67"/>
      <c r="PYU368" s="67"/>
      <c r="PYW368" s="357"/>
      <c r="PYX368" s="67"/>
      <c r="PYY368" s="67"/>
      <c r="PZA368" s="357"/>
      <c r="PZB368" s="67"/>
      <c r="PZC368" s="67"/>
      <c r="PZE368" s="357"/>
      <c r="PZF368" s="67"/>
      <c r="PZG368" s="67"/>
      <c r="PZI368" s="357"/>
      <c r="PZJ368" s="67"/>
      <c r="PZK368" s="67"/>
      <c r="PZM368" s="357"/>
      <c r="PZN368" s="67"/>
      <c r="PZO368" s="67"/>
      <c r="PZQ368" s="357"/>
      <c r="PZR368" s="67"/>
      <c r="PZS368" s="67"/>
      <c r="PZU368" s="357"/>
      <c r="PZV368" s="67"/>
      <c r="PZW368" s="67"/>
      <c r="PZY368" s="357"/>
      <c r="PZZ368" s="67"/>
      <c r="QAA368" s="67"/>
      <c r="QAC368" s="357"/>
      <c r="QAD368" s="67"/>
      <c r="QAE368" s="67"/>
      <c r="QAG368" s="357"/>
      <c r="QAH368" s="67"/>
      <c r="QAI368" s="67"/>
      <c r="QAK368" s="357"/>
      <c r="QAL368" s="67"/>
      <c r="QAM368" s="67"/>
      <c r="QAO368" s="357"/>
      <c r="QAP368" s="67"/>
      <c r="QAQ368" s="67"/>
      <c r="QAS368" s="357"/>
      <c r="QAT368" s="67"/>
      <c r="QAU368" s="67"/>
      <c r="QAW368" s="357"/>
      <c r="QAX368" s="67"/>
      <c r="QAY368" s="67"/>
      <c r="QBA368" s="357"/>
      <c r="QBB368" s="67"/>
      <c r="QBC368" s="67"/>
      <c r="QBE368" s="357"/>
      <c r="QBF368" s="67"/>
      <c r="QBG368" s="67"/>
      <c r="QBI368" s="357"/>
      <c r="QBJ368" s="67"/>
      <c r="QBK368" s="67"/>
      <c r="QBM368" s="357"/>
      <c r="QBN368" s="67"/>
      <c r="QBO368" s="67"/>
      <c r="QBQ368" s="357"/>
      <c r="QBR368" s="67"/>
      <c r="QBS368" s="67"/>
      <c r="QBU368" s="357"/>
      <c r="QBV368" s="67"/>
      <c r="QBW368" s="67"/>
      <c r="QBY368" s="357"/>
      <c r="QBZ368" s="67"/>
      <c r="QCA368" s="67"/>
      <c r="QCC368" s="357"/>
      <c r="QCD368" s="67"/>
      <c r="QCE368" s="67"/>
      <c r="QCG368" s="357"/>
      <c r="QCH368" s="67"/>
      <c r="QCI368" s="67"/>
      <c r="QCK368" s="357"/>
      <c r="QCL368" s="67"/>
      <c r="QCM368" s="67"/>
      <c r="QCO368" s="357"/>
      <c r="QCP368" s="67"/>
      <c r="QCQ368" s="67"/>
      <c r="QCS368" s="357"/>
      <c r="QCT368" s="67"/>
      <c r="QCU368" s="67"/>
      <c r="QCW368" s="357"/>
      <c r="QCX368" s="67"/>
      <c r="QCY368" s="67"/>
      <c r="QDA368" s="357"/>
      <c r="QDB368" s="67"/>
      <c r="QDC368" s="67"/>
      <c r="QDE368" s="357"/>
      <c r="QDF368" s="67"/>
      <c r="QDG368" s="67"/>
      <c r="QDI368" s="357"/>
      <c r="QDJ368" s="67"/>
      <c r="QDK368" s="67"/>
      <c r="QDM368" s="357"/>
      <c r="QDN368" s="67"/>
      <c r="QDO368" s="67"/>
      <c r="QDQ368" s="357"/>
      <c r="QDR368" s="67"/>
      <c r="QDS368" s="67"/>
      <c r="QDU368" s="357"/>
      <c r="QDV368" s="67"/>
      <c r="QDW368" s="67"/>
      <c r="QDY368" s="357"/>
      <c r="QDZ368" s="67"/>
      <c r="QEA368" s="67"/>
      <c r="QEC368" s="357"/>
      <c r="QED368" s="67"/>
      <c r="QEE368" s="67"/>
      <c r="QEG368" s="357"/>
      <c r="QEH368" s="67"/>
      <c r="QEI368" s="67"/>
      <c r="QEK368" s="357"/>
      <c r="QEL368" s="67"/>
      <c r="QEM368" s="67"/>
      <c r="QEO368" s="357"/>
      <c r="QEP368" s="67"/>
      <c r="QEQ368" s="67"/>
      <c r="QES368" s="357"/>
      <c r="QET368" s="67"/>
      <c r="QEU368" s="67"/>
      <c r="QEW368" s="357"/>
      <c r="QEX368" s="67"/>
      <c r="QEY368" s="67"/>
      <c r="QFA368" s="357"/>
      <c r="QFB368" s="67"/>
      <c r="QFC368" s="67"/>
      <c r="QFE368" s="357"/>
      <c r="QFF368" s="67"/>
      <c r="QFG368" s="67"/>
      <c r="QFI368" s="357"/>
      <c r="QFJ368" s="67"/>
      <c r="QFK368" s="67"/>
      <c r="QFM368" s="357"/>
      <c r="QFN368" s="67"/>
      <c r="QFO368" s="67"/>
      <c r="QFQ368" s="357"/>
      <c r="QFR368" s="67"/>
      <c r="QFS368" s="67"/>
      <c r="QFU368" s="357"/>
      <c r="QFV368" s="67"/>
      <c r="QFW368" s="67"/>
      <c r="QFY368" s="357"/>
      <c r="QFZ368" s="67"/>
      <c r="QGA368" s="67"/>
      <c r="QGC368" s="357"/>
      <c r="QGD368" s="67"/>
      <c r="QGE368" s="67"/>
      <c r="QGG368" s="357"/>
      <c r="QGH368" s="67"/>
      <c r="QGI368" s="67"/>
      <c r="QGK368" s="357"/>
      <c r="QGL368" s="67"/>
      <c r="QGM368" s="67"/>
      <c r="QGO368" s="357"/>
      <c r="QGP368" s="67"/>
      <c r="QGQ368" s="67"/>
      <c r="QGS368" s="357"/>
      <c r="QGT368" s="67"/>
      <c r="QGU368" s="67"/>
      <c r="QGW368" s="357"/>
      <c r="QGX368" s="67"/>
      <c r="QGY368" s="67"/>
      <c r="QHA368" s="357"/>
      <c r="QHB368" s="67"/>
      <c r="QHC368" s="67"/>
      <c r="QHE368" s="357"/>
      <c r="QHF368" s="67"/>
      <c r="QHG368" s="67"/>
      <c r="QHI368" s="357"/>
      <c r="QHJ368" s="67"/>
      <c r="QHK368" s="67"/>
      <c r="QHM368" s="357"/>
      <c r="QHN368" s="67"/>
      <c r="QHO368" s="67"/>
      <c r="QHQ368" s="357"/>
      <c r="QHR368" s="67"/>
      <c r="QHS368" s="67"/>
      <c r="QHU368" s="357"/>
      <c r="QHV368" s="67"/>
      <c r="QHW368" s="67"/>
      <c r="QHY368" s="357"/>
      <c r="QHZ368" s="67"/>
      <c r="QIA368" s="67"/>
      <c r="QIC368" s="357"/>
      <c r="QID368" s="67"/>
      <c r="QIE368" s="67"/>
      <c r="QIG368" s="357"/>
      <c r="QIH368" s="67"/>
      <c r="QII368" s="67"/>
      <c r="QIK368" s="357"/>
      <c r="QIL368" s="67"/>
      <c r="QIM368" s="67"/>
      <c r="QIO368" s="357"/>
      <c r="QIP368" s="67"/>
      <c r="QIQ368" s="67"/>
      <c r="QIS368" s="357"/>
      <c r="QIT368" s="67"/>
      <c r="QIU368" s="67"/>
      <c r="QIW368" s="357"/>
      <c r="QIX368" s="67"/>
      <c r="QIY368" s="67"/>
      <c r="QJA368" s="357"/>
      <c r="QJB368" s="67"/>
      <c r="QJC368" s="67"/>
      <c r="QJE368" s="357"/>
      <c r="QJF368" s="67"/>
      <c r="QJG368" s="67"/>
      <c r="QJI368" s="357"/>
      <c r="QJJ368" s="67"/>
      <c r="QJK368" s="67"/>
      <c r="QJM368" s="357"/>
      <c r="QJN368" s="67"/>
      <c r="QJO368" s="67"/>
      <c r="QJQ368" s="357"/>
      <c r="QJR368" s="67"/>
      <c r="QJS368" s="67"/>
      <c r="QJU368" s="357"/>
      <c r="QJV368" s="67"/>
      <c r="QJW368" s="67"/>
      <c r="QJY368" s="357"/>
      <c r="QJZ368" s="67"/>
      <c r="QKA368" s="67"/>
      <c r="QKC368" s="357"/>
      <c r="QKD368" s="67"/>
      <c r="QKE368" s="67"/>
      <c r="QKG368" s="357"/>
      <c r="QKH368" s="67"/>
      <c r="QKI368" s="67"/>
      <c r="QKK368" s="357"/>
      <c r="QKL368" s="67"/>
      <c r="QKM368" s="67"/>
      <c r="QKO368" s="357"/>
      <c r="QKP368" s="67"/>
      <c r="QKQ368" s="67"/>
      <c r="QKS368" s="357"/>
      <c r="QKT368" s="67"/>
      <c r="QKU368" s="67"/>
      <c r="QKW368" s="357"/>
      <c r="QKX368" s="67"/>
      <c r="QKY368" s="67"/>
      <c r="QLA368" s="357"/>
      <c r="QLB368" s="67"/>
      <c r="QLC368" s="67"/>
      <c r="QLE368" s="357"/>
      <c r="QLF368" s="67"/>
      <c r="QLG368" s="67"/>
      <c r="QLI368" s="357"/>
      <c r="QLJ368" s="67"/>
      <c r="QLK368" s="67"/>
      <c r="QLM368" s="357"/>
      <c r="QLN368" s="67"/>
      <c r="QLO368" s="67"/>
      <c r="QLQ368" s="357"/>
      <c r="QLR368" s="67"/>
      <c r="QLS368" s="67"/>
      <c r="QLU368" s="357"/>
      <c r="QLV368" s="67"/>
      <c r="QLW368" s="67"/>
      <c r="QLY368" s="357"/>
      <c r="QLZ368" s="67"/>
      <c r="QMA368" s="67"/>
      <c r="QMC368" s="357"/>
      <c r="QMD368" s="67"/>
      <c r="QME368" s="67"/>
      <c r="QMG368" s="357"/>
      <c r="QMH368" s="67"/>
      <c r="QMI368" s="67"/>
      <c r="QMK368" s="357"/>
      <c r="QML368" s="67"/>
      <c r="QMM368" s="67"/>
      <c r="QMO368" s="357"/>
      <c r="QMP368" s="67"/>
      <c r="QMQ368" s="67"/>
      <c r="QMS368" s="357"/>
      <c r="QMT368" s="67"/>
      <c r="QMU368" s="67"/>
      <c r="QMW368" s="357"/>
      <c r="QMX368" s="67"/>
      <c r="QMY368" s="67"/>
      <c r="QNA368" s="357"/>
      <c r="QNB368" s="67"/>
      <c r="QNC368" s="67"/>
      <c r="QNE368" s="357"/>
      <c r="QNF368" s="67"/>
      <c r="QNG368" s="67"/>
      <c r="QNI368" s="357"/>
      <c r="QNJ368" s="67"/>
      <c r="QNK368" s="67"/>
      <c r="QNM368" s="357"/>
      <c r="QNN368" s="67"/>
      <c r="QNO368" s="67"/>
      <c r="QNQ368" s="357"/>
      <c r="QNR368" s="67"/>
      <c r="QNS368" s="67"/>
      <c r="QNU368" s="357"/>
      <c r="QNV368" s="67"/>
      <c r="QNW368" s="67"/>
      <c r="QNY368" s="357"/>
      <c r="QNZ368" s="67"/>
      <c r="QOA368" s="67"/>
      <c r="QOC368" s="357"/>
      <c r="QOD368" s="67"/>
      <c r="QOE368" s="67"/>
      <c r="QOG368" s="357"/>
      <c r="QOH368" s="67"/>
      <c r="QOI368" s="67"/>
      <c r="QOK368" s="357"/>
      <c r="QOL368" s="67"/>
      <c r="QOM368" s="67"/>
      <c r="QOO368" s="357"/>
      <c r="QOP368" s="67"/>
      <c r="QOQ368" s="67"/>
      <c r="QOS368" s="357"/>
      <c r="QOT368" s="67"/>
      <c r="QOU368" s="67"/>
      <c r="QOW368" s="357"/>
      <c r="QOX368" s="67"/>
      <c r="QOY368" s="67"/>
      <c r="QPA368" s="357"/>
      <c r="QPB368" s="67"/>
      <c r="QPC368" s="67"/>
      <c r="QPE368" s="357"/>
      <c r="QPF368" s="67"/>
      <c r="QPG368" s="67"/>
      <c r="QPI368" s="357"/>
      <c r="QPJ368" s="67"/>
      <c r="QPK368" s="67"/>
      <c r="QPM368" s="357"/>
      <c r="QPN368" s="67"/>
      <c r="QPO368" s="67"/>
      <c r="QPQ368" s="357"/>
      <c r="QPR368" s="67"/>
      <c r="QPS368" s="67"/>
      <c r="QPU368" s="357"/>
      <c r="QPV368" s="67"/>
      <c r="QPW368" s="67"/>
      <c r="QPY368" s="357"/>
      <c r="QPZ368" s="67"/>
      <c r="QQA368" s="67"/>
      <c r="QQC368" s="357"/>
      <c r="QQD368" s="67"/>
      <c r="QQE368" s="67"/>
      <c r="QQG368" s="357"/>
      <c r="QQH368" s="67"/>
      <c r="QQI368" s="67"/>
      <c r="QQK368" s="357"/>
      <c r="QQL368" s="67"/>
      <c r="QQM368" s="67"/>
      <c r="QQO368" s="357"/>
      <c r="QQP368" s="67"/>
      <c r="QQQ368" s="67"/>
      <c r="QQS368" s="357"/>
      <c r="QQT368" s="67"/>
      <c r="QQU368" s="67"/>
      <c r="QQW368" s="357"/>
      <c r="QQX368" s="67"/>
      <c r="QQY368" s="67"/>
      <c r="QRA368" s="357"/>
      <c r="QRB368" s="67"/>
      <c r="QRC368" s="67"/>
      <c r="QRE368" s="357"/>
      <c r="QRF368" s="67"/>
      <c r="QRG368" s="67"/>
      <c r="QRI368" s="357"/>
      <c r="QRJ368" s="67"/>
      <c r="QRK368" s="67"/>
      <c r="QRM368" s="357"/>
      <c r="QRN368" s="67"/>
      <c r="QRO368" s="67"/>
      <c r="QRQ368" s="357"/>
      <c r="QRR368" s="67"/>
      <c r="QRS368" s="67"/>
      <c r="QRU368" s="357"/>
      <c r="QRV368" s="67"/>
      <c r="QRW368" s="67"/>
      <c r="QRY368" s="357"/>
      <c r="QRZ368" s="67"/>
      <c r="QSA368" s="67"/>
      <c r="QSC368" s="357"/>
      <c r="QSD368" s="67"/>
      <c r="QSE368" s="67"/>
      <c r="QSG368" s="357"/>
      <c r="QSH368" s="67"/>
      <c r="QSI368" s="67"/>
      <c r="QSK368" s="357"/>
      <c r="QSL368" s="67"/>
      <c r="QSM368" s="67"/>
      <c r="QSO368" s="357"/>
      <c r="QSP368" s="67"/>
      <c r="QSQ368" s="67"/>
      <c r="QSS368" s="357"/>
      <c r="QST368" s="67"/>
      <c r="QSU368" s="67"/>
      <c r="QSW368" s="357"/>
      <c r="QSX368" s="67"/>
      <c r="QSY368" s="67"/>
      <c r="QTA368" s="357"/>
      <c r="QTB368" s="67"/>
      <c r="QTC368" s="67"/>
      <c r="QTE368" s="357"/>
      <c r="QTF368" s="67"/>
      <c r="QTG368" s="67"/>
      <c r="QTI368" s="357"/>
      <c r="QTJ368" s="67"/>
      <c r="QTK368" s="67"/>
      <c r="QTM368" s="357"/>
      <c r="QTN368" s="67"/>
      <c r="QTO368" s="67"/>
      <c r="QTQ368" s="357"/>
      <c r="QTR368" s="67"/>
      <c r="QTS368" s="67"/>
      <c r="QTU368" s="357"/>
      <c r="QTV368" s="67"/>
      <c r="QTW368" s="67"/>
      <c r="QTY368" s="357"/>
      <c r="QTZ368" s="67"/>
      <c r="QUA368" s="67"/>
      <c r="QUC368" s="357"/>
      <c r="QUD368" s="67"/>
      <c r="QUE368" s="67"/>
      <c r="QUG368" s="357"/>
      <c r="QUH368" s="67"/>
      <c r="QUI368" s="67"/>
      <c r="QUK368" s="357"/>
      <c r="QUL368" s="67"/>
      <c r="QUM368" s="67"/>
      <c r="QUO368" s="357"/>
      <c r="QUP368" s="67"/>
      <c r="QUQ368" s="67"/>
      <c r="QUS368" s="357"/>
      <c r="QUT368" s="67"/>
      <c r="QUU368" s="67"/>
      <c r="QUW368" s="357"/>
      <c r="QUX368" s="67"/>
      <c r="QUY368" s="67"/>
      <c r="QVA368" s="357"/>
      <c r="QVB368" s="67"/>
      <c r="QVC368" s="67"/>
      <c r="QVE368" s="357"/>
      <c r="QVF368" s="67"/>
      <c r="QVG368" s="67"/>
      <c r="QVI368" s="357"/>
      <c r="QVJ368" s="67"/>
      <c r="QVK368" s="67"/>
      <c r="QVM368" s="357"/>
      <c r="QVN368" s="67"/>
      <c r="QVO368" s="67"/>
      <c r="QVQ368" s="357"/>
      <c r="QVR368" s="67"/>
      <c r="QVS368" s="67"/>
      <c r="QVU368" s="357"/>
      <c r="QVV368" s="67"/>
      <c r="QVW368" s="67"/>
      <c r="QVY368" s="357"/>
      <c r="QVZ368" s="67"/>
      <c r="QWA368" s="67"/>
      <c r="QWC368" s="357"/>
      <c r="QWD368" s="67"/>
      <c r="QWE368" s="67"/>
      <c r="QWG368" s="357"/>
      <c r="QWH368" s="67"/>
      <c r="QWI368" s="67"/>
      <c r="QWK368" s="357"/>
      <c r="QWL368" s="67"/>
      <c r="QWM368" s="67"/>
      <c r="QWO368" s="357"/>
      <c r="QWP368" s="67"/>
      <c r="QWQ368" s="67"/>
      <c r="QWS368" s="357"/>
      <c r="QWT368" s="67"/>
      <c r="QWU368" s="67"/>
      <c r="QWW368" s="357"/>
      <c r="QWX368" s="67"/>
      <c r="QWY368" s="67"/>
      <c r="QXA368" s="357"/>
      <c r="QXB368" s="67"/>
      <c r="QXC368" s="67"/>
      <c r="QXE368" s="357"/>
      <c r="QXF368" s="67"/>
      <c r="QXG368" s="67"/>
      <c r="QXI368" s="357"/>
      <c r="QXJ368" s="67"/>
      <c r="QXK368" s="67"/>
      <c r="QXM368" s="357"/>
      <c r="QXN368" s="67"/>
      <c r="QXO368" s="67"/>
      <c r="QXQ368" s="357"/>
      <c r="QXR368" s="67"/>
      <c r="QXS368" s="67"/>
      <c r="QXU368" s="357"/>
      <c r="QXV368" s="67"/>
      <c r="QXW368" s="67"/>
      <c r="QXY368" s="357"/>
      <c r="QXZ368" s="67"/>
      <c r="QYA368" s="67"/>
      <c r="QYC368" s="357"/>
      <c r="QYD368" s="67"/>
      <c r="QYE368" s="67"/>
      <c r="QYG368" s="357"/>
      <c r="QYH368" s="67"/>
      <c r="QYI368" s="67"/>
      <c r="QYK368" s="357"/>
      <c r="QYL368" s="67"/>
      <c r="QYM368" s="67"/>
      <c r="QYO368" s="357"/>
      <c r="QYP368" s="67"/>
      <c r="QYQ368" s="67"/>
      <c r="QYS368" s="357"/>
      <c r="QYT368" s="67"/>
      <c r="QYU368" s="67"/>
      <c r="QYW368" s="357"/>
      <c r="QYX368" s="67"/>
      <c r="QYY368" s="67"/>
      <c r="QZA368" s="357"/>
      <c r="QZB368" s="67"/>
      <c r="QZC368" s="67"/>
      <c r="QZE368" s="357"/>
      <c r="QZF368" s="67"/>
      <c r="QZG368" s="67"/>
      <c r="QZI368" s="357"/>
      <c r="QZJ368" s="67"/>
      <c r="QZK368" s="67"/>
      <c r="QZM368" s="357"/>
      <c r="QZN368" s="67"/>
      <c r="QZO368" s="67"/>
      <c r="QZQ368" s="357"/>
      <c r="QZR368" s="67"/>
      <c r="QZS368" s="67"/>
      <c r="QZU368" s="357"/>
      <c r="QZV368" s="67"/>
      <c r="QZW368" s="67"/>
      <c r="QZY368" s="357"/>
      <c r="QZZ368" s="67"/>
      <c r="RAA368" s="67"/>
      <c r="RAC368" s="357"/>
      <c r="RAD368" s="67"/>
      <c r="RAE368" s="67"/>
      <c r="RAG368" s="357"/>
      <c r="RAH368" s="67"/>
      <c r="RAI368" s="67"/>
      <c r="RAK368" s="357"/>
      <c r="RAL368" s="67"/>
      <c r="RAM368" s="67"/>
      <c r="RAO368" s="357"/>
      <c r="RAP368" s="67"/>
      <c r="RAQ368" s="67"/>
      <c r="RAS368" s="357"/>
      <c r="RAT368" s="67"/>
      <c r="RAU368" s="67"/>
      <c r="RAW368" s="357"/>
      <c r="RAX368" s="67"/>
      <c r="RAY368" s="67"/>
      <c r="RBA368" s="357"/>
      <c r="RBB368" s="67"/>
      <c r="RBC368" s="67"/>
      <c r="RBE368" s="357"/>
      <c r="RBF368" s="67"/>
      <c r="RBG368" s="67"/>
      <c r="RBI368" s="357"/>
      <c r="RBJ368" s="67"/>
      <c r="RBK368" s="67"/>
      <c r="RBM368" s="357"/>
      <c r="RBN368" s="67"/>
      <c r="RBO368" s="67"/>
      <c r="RBQ368" s="357"/>
      <c r="RBR368" s="67"/>
      <c r="RBS368" s="67"/>
      <c r="RBU368" s="357"/>
      <c r="RBV368" s="67"/>
      <c r="RBW368" s="67"/>
      <c r="RBY368" s="357"/>
      <c r="RBZ368" s="67"/>
      <c r="RCA368" s="67"/>
      <c r="RCC368" s="357"/>
      <c r="RCD368" s="67"/>
      <c r="RCE368" s="67"/>
      <c r="RCG368" s="357"/>
      <c r="RCH368" s="67"/>
      <c r="RCI368" s="67"/>
      <c r="RCK368" s="357"/>
      <c r="RCL368" s="67"/>
      <c r="RCM368" s="67"/>
      <c r="RCO368" s="357"/>
      <c r="RCP368" s="67"/>
      <c r="RCQ368" s="67"/>
      <c r="RCS368" s="357"/>
      <c r="RCT368" s="67"/>
      <c r="RCU368" s="67"/>
      <c r="RCW368" s="357"/>
      <c r="RCX368" s="67"/>
      <c r="RCY368" s="67"/>
      <c r="RDA368" s="357"/>
      <c r="RDB368" s="67"/>
      <c r="RDC368" s="67"/>
      <c r="RDE368" s="357"/>
      <c r="RDF368" s="67"/>
      <c r="RDG368" s="67"/>
      <c r="RDI368" s="357"/>
      <c r="RDJ368" s="67"/>
      <c r="RDK368" s="67"/>
      <c r="RDM368" s="357"/>
      <c r="RDN368" s="67"/>
      <c r="RDO368" s="67"/>
      <c r="RDQ368" s="357"/>
      <c r="RDR368" s="67"/>
      <c r="RDS368" s="67"/>
      <c r="RDU368" s="357"/>
      <c r="RDV368" s="67"/>
      <c r="RDW368" s="67"/>
      <c r="RDY368" s="357"/>
      <c r="RDZ368" s="67"/>
      <c r="REA368" s="67"/>
      <c r="REC368" s="357"/>
      <c r="RED368" s="67"/>
      <c r="REE368" s="67"/>
      <c r="REG368" s="357"/>
      <c r="REH368" s="67"/>
      <c r="REI368" s="67"/>
      <c r="REK368" s="357"/>
      <c r="REL368" s="67"/>
      <c r="REM368" s="67"/>
      <c r="REO368" s="357"/>
      <c r="REP368" s="67"/>
      <c r="REQ368" s="67"/>
      <c r="RES368" s="357"/>
      <c r="RET368" s="67"/>
      <c r="REU368" s="67"/>
      <c r="REW368" s="357"/>
      <c r="REX368" s="67"/>
      <c r="REY368" s="67"/>
      <c r="RFA368" s="357"/>
      <c r="RFB368" s="67"/>
      <c r="RFC368" s="67"/>
      <c r="RFE368" s="357"/>
      <c r="RFF368" s="67"/>
      <c r="RFG368" s="67"/>
      <c r="RFI368" s="357"/>
      <c r="RFJ368" s="67"/>
      <c r="RFK368" s="67"/>
      <c r="RFM368" s="357"/>
      <c r="RFN368" s="67"/>
      <c r="RFO368" s="67"/>
      <c r="RFQ368" s="357"/>
      <c r="RFR368" s="67"/>
      <c r="RFS368" s="67"/>
      <c r="RFU368" s="357"/>
      <c r="RFV368" s="67"/>
      <c r="RFW368" s="67"/>
      <c r="RFY368" s="357"/>
      <c r="RFZ368" s="67"/>
      <c r="RGA368" s="67"/>
      <c r="RGC368" s="357"/>
      <c r="RGD368" s="67"/>
      <c r="RGE368" s="67"/>
      <c r="RGG368" s="357"/>
      <c r="RGH368" s="67"/>
      <c r="RGI368" s="67"/>
      <c r="RGK368" s="357"/>
      <c r="RGL368" s="67"/>
      <c r="RGM368" s="67"/>
      <c r="RGO368" s="357"/>
      <c r="RGP368" s="67"/>
      <c r="RGQ368" s="67"/>
      <c r="RGS368" s="357"/>
      <c r="RGT368" s="67"/>
      <c r="RGU368" s="67"/>
      <c r="RGW368" s="357"/>
      <c r="RGX368" s="67"/>
      <c r="RGY368" s="67"/>
      <c r="RHA368" s="357"/>
      <c r="RHB368" s="67"/>
      <c r="RHC368" s="67"/>
      <c r="RHE368" s="357"/>
      <c r="RHF368" s="67"/>
      <c r="RHG368" s="67"/>
      <c r="RHI368" s="357"/>
      <c r="RHJ368" s="67"/>
      <c r="RHK368" s="67"/>
      <c r="RHM368" s="357"/>
      <c r="RHN368" s="67"/>
      <c r="RHO368" s="67"/>
      <c r="RHQ368" s="357"/>
      <c r="RHR368" s="67"/>
      <c r="RHS368" s="67"/>
      <c r="RHU368" s="357"/>
      <c r="RHV368" s="67"/>
      <c r="RHW368" s="67"/>
      <c r="RHY368" s="357"/>
      <c r="RHZ368" s="67"/>
      <c r="RIA368" s="67"/>
      <c r="RIC368" s="357"/>
      <c r="RID368" s="67"/>
      <c r="RIE368" s="67"/>
      <c r="RIG368" s="357"/>
      <c r="RIH368" s="67"/>
      <c r="RII368" s="67"/>
      <c r="RIK368" s="357"/>
      <c r="RIL368" s="67"/>
      <c r="RIM368" s="67"/>
      <c r="RIO368" s="357"/>
      <c r="RIP368" s="67"/>
      <c r="RIQ368" s="67"/>
      <c r="RIS368" s="357"/>
      <c r="RIT368" s="67"/>
      <c r="RIU368" s="67"/>
      <c r="RIW368" s="357"/>
      <c r="RIX368" s="67"/>
      <c r="RIY368" s="67"/>
      <c r="RJA368" s="357"/>
      <c r="RJB368" s="67"/>
      <c r="RJC368" s="67"/>
      <c r="RJE368" s="357"/>
      <c r="RJF368" s="67"/>
      <c r="RJG368" s="67"/>
      <c r="RJI368" s="357"/>
      <c r="RJJ368" s="67"/>
      <c r="RJK368" s="67"/>
      <c r="RJM368" s="357"/>
      <c r="RJN368" s="67"/>
      <c r="RJO368" s="67"/>
      <c r="RJQ368" s="357"/>
      <c r="RJR368" s="67"/>
      <c r="RJS368" s="67"/>
      <c r="RJU368" s="357"/>
      <c r="RJV368" s="67"/>
      <c r="RJW368" s="67"/>
      <c r="RJY368" s="357"/>
      <c r="RJZ368" s="67"/>
      <c r="RKA368" s="67"/>
      <c r="RKC368" s="357"/>
      <c r="RKD368" s="67"/>
      <c r="RKE368" s="67"/>
      <c r="RKG368" s="357"/>
      <c r="RKH368" s="67"/>
      <c r="RKI368" s="67"/>
      <c r="RKK368" s="357"/>
      <c r="RKL368" s="67"/>
      <c r="RKM368" s="67"/>
      <c r="RKO368" s="357"/>
      <c r="RKP368" s="67"/>
      <c r="RKQ368" s="67"/>
      <c r="RKS368" s="357"/>
      <c r="RKT368" s="67"/>
      <c r="RKU368" s="67"/>
      <c r="RKW368" s="357"/>
      <c r="RKX368" s="67"/>
      <c r="RKY368" s="67"/>
      <c r="RLA368" s="357"/>
      <c r="RLB368" s="67"/>
      <c r="RLC368" s="67"/>
      <c r="RLE368" s="357"/>
      <c r="RLF368" s="67"/>
      <c r="RLG368" s="67"/>
      <c r="RLI368" s="357"/>
      <c r="RLJ368" s="67"/>
      <c r="RLK368" s="67"/>
      <c r="RLM368" s="357"/>
      <c r="RLN368" s="67"/>
      <c r="RLO368" s="67"/>
      <c r="RLQ368" s="357"/>
      <c r="RLR368" s="67"/>
      <c r="RLS368" s="67"/>
      <c r="RLU368" s="357"/>
      <c r="RLV368" s="67"/>
      <c r="RLW368" s="67"/>
      <c r="RLY368" s="357"/>
      <c r="RLZ368" s="67"/>
      <c r="RMA368" s="67"/>
      <c r="RMC368" s="357"/>
      <c r="RMD368" s="67"/>
      <c r="RME368" s="67"/>
      <c r="RMG368" s="357"/>
      <c r="RMH368" s="67"/>
      <c r="RMI368" s="67"/>
      <c r="RMK368" s="357"/>
      <c r="RML368" s="67"/>
      <c r="RMM368" s="67"/>
      <c r="RMO368" s="357"/>
      <c r="RMP368" s="67"/>
      <c r="RMQ368" s="67"/>
      <c r="RMS368" s="357"/>
      <c r="RMT368" s="67"/>
      <c r="RMU368" s="67"/>
      <c r="RMW368" s="357"/>
      <c r="RMX368" s="67"/>
      <c r="RMY368" s="67"/>
      <c r="RNA368" s="357"/>
      <c r="RNB368" s="67"/>
      <c r="RNC368" s="67"/>
      <c r="RNE368" s="357"/>
      <c r="RNF368" s="67"/>
      <c r="RNG368" s="67"/>
      <c r="RNI368" s="357"/>
      <c r="RNJ368" s="67"/>
      <c r="RNK368" s="67"/>
      <c r="RNM368" s="357"/>
      <c r="RNN368" s="67"/>
      <c r="RNO368" s="67"/>
      <c r="RNQ368" s="357"/>
      <c r="RNR368" s="67"/>
      <c r="RNS368" s="67"/>
      <c r="RNU368" s="357"/>
      <c r="RNV368" s="67"/>
      <c r="RNW368" s="67"/>
      <c r="RNY368" s="357"/>
      <c r="RNZ368" s="67"/>
      <c r="ROA368" s="67"/>
      <c r="ROC368" s="357"/>
      <c r="ROD368" s="67"/>
      <c r="ROE368" s="67"/>
      <c r="ROG368" s="357"/>
      <c r="ROH368" s="67"/>
      <c r="ROI368" s="67"/>
      <c r="ROK368" s="357"/>
      <c r="ROL368" s="67"/>
      <c r="ROM368" s="67"/>
      <c r="ROO368" s="357"/>
      <c r="ROP368" s="67"/>
      <c r="ROQ368" s="67"/>
      <c r="ROS368" s="357"/>
      <c r="ROT368" s="67"/>
      <c r="ROU368" s="67"/>
      <c r="ROW368" s="357"/>
      <c r="ROX368" s="67"/>
      <c r="ROY368" s="67"/>
      <c r="RPA368" s="357"/>
      <c r="RPB368" s="67"/>
      <c r="RPC368" s="67"/>
      <c r="RPE368" s="357"/>
      <c r="RPF368" s="67"/>
      <c r="RPG368" s="67"/>
      <c r="RPI368" s="357"/>
      <c r="RPJ368" s="67"/>
      <c r="RPK368" s="67"/>
      <c r="RPM368" s="357"/>
      <c r="RPN368" s="67"/>
      <c r="RPO368" s="67"/>
      <c r="RPQ368" s="357"/>
      <c r="RPR368" s="67"/>
      <c r="RPS368" s="67"/>
      <c r="RPU368" s="357"/>
      <c r="RPV368" s="67"/>
      <c r="RPW368" s="67"/>
      <c r="RPY368" s="357"/>
      <c r="RPZ368" s="67"/>
      <c r="RQA368" s="67"/>
      <c r="RQC368" s="357"/>
      <c r="RQD368" s="67"/>
      <c r="RQE368" s="67"/>
      <c r="RQG368" s="357"/>
      <c r="RQH368" s="67"/>
      <c r="RQI368" s="67"/>
      <c r="RQK368" s="357"/>
      <c r="RQL368" s="67"/>
      <c r="RQM368" s="67"/>
      <c r="RQO368" s="357"/>
      <c r="RQP368" s="67"/>
      <c r="RQQ368" s="67"/>
      <c r="RQS368" s="357"/>
      <c r="RQT368" s="67"/>
      <c r="RQU368" s="67"/>
      <c r="RQW368" s="357"/>
      <c r="RQX368" s="67"/>
      <c r="RQY368" s="67"/>
      <c r="RRA368" s="357"/>
      <c r="RRB368" s="67"/>
      <c r="RRC368" s="67"/>
      <c r="RRE368" s="357"/>
      <c r="RRF368" s="67"/>
      <c r="RRG368" s="67"/>
      <c r="RRI368" s="357"/>
      <c r="RRJ368" s="67"/>
      <c r="RRK368" s="67"/>
      <c r="RRM368" s="357"/>
      <c r="RRN368" s="67"/>
      <c r="RRO368" s="67"/>
      <c r="RRQ368" s="357"/>
      <c r="RRR368" s="67"/>
      <c r="RRS368" s="67"/>
      <c r="RRU368" s="357"/>
      <c r="RRV368" s="67"/>
      <c r="RRW368" s="67"/>
      <c r="RRY368" s="357"/>
      <c r="RRZ368" s="67"/>
      <c r="RSA368" s="67"/>
      <c r="RSC368" s="357"/>
      <c r="RSD368" s="67"/>
      <c r="RSE368" s="67"/>
      <c r="RSG368" s="357"/>
      <c r="RSH368" s="67"/>
      <c r="RSI368" s="67"/>
      <c r="RSK368" s="357"/>
      <c r="RSL368" s="67"/>
      <c r="RSM368" s="67"/>
      <c r="RSO368" s="357"/>
      <c r="RSP368" s="67"/>
      <c r="RSQ368" s="67"/>
      <c r="RSS368" s="357"/>
      <c r="RST368" s="67"/>
      <c r="RSU368" s="67"/>
      <c r="RSW368" s="357"/>
      <c r="RSX368" s="67"/>
      <c r="RSY368" s="67"/>
      <c r="RTA368" s="357"/>
      <c r="RTB368" s="67"/>
      <c r="RTC368" s="67"/>
      <c r="RTE368" s="357"/>
      <c r="RTF368" s="67"/>
      <c r="RTG368" s="67"/>
      <c r="RTI368" s="357"/>
      <c r="RTJ368" s="67"/>
      <c r="RTK368" s="67"/>
      <c r="RTM368" s="357"/>
      <c r="RTN368" s="67"/>
      <c r="RTO368" s="67"/>
      <c r="RTQ368" s="357"/>
      <c r="RTR368" s="67"/>
      <c r="RTS368" s="67"/>
      <c r="RTU368" s="357"/>
      <c r="RTV368" s="67"/>
      <c r="RTW368" s="67"/>
      <c r="RTY368" s="357"/>
      <c r="RTZ368" s="67"/>
      <c r="RUA368" s="67"/>
      <c r="RUC368" s="357"/>
      <c r="RUD368" s="67"/>
      <c r="RUE368" s="67"/>
      <c r="RUG368" s="357"/>
      <c r="RUH368" s="67"/>
      <c r="RUI368" s="67"/>
      <c r="RUK368" s="357"/>
      <c r="RUL368" s="67"/>
      <c r="RUM368" s="67"/>
      <c r="RUO368" s="357"/>
      <c r="RUP368" s="67"/>
      <c r="RUQ368" s="67"/>
      <c r="RUS368" s="357"/>
      <c r="RUT368" s="67"/>
      <c r="RUU368" s="67"/>
      <c r="RUW368" s="357"/>
      <c r="RUX368" s="67"/>
      <c r="RUY368" s="67"/>
      <c r="RVA368" s="357"/>
      <c r="RVB368" s="67"/>
      <c r="RVC368" s="67"/>
      <c r="RVE368" s="357"/>
      <c r="RVF368" s="67"/>
      <c r="RVG368" s="67"/>
      <c r="RVI368" s="357"/>
      <c r="RVJ368" s="67"/>
      <c r="RVK368" s="67"/>
      <c r="RVM368" s="357"/>
      <c r="RVN368" s="67"/>
      <c r="RVO368" s="67"/>
      <c r="RVQ368" s="357"/>
      <c r="RVR368" s="67"/>
      <c r="RVS368" s="67"/>
      <c r="RVU368" s="357"/>
      <c r="RVV368" s="67"/>
      <c r="RVW368" s="67"/>
      <c r="RVY368" s="357"/>
      <c r="RVZ368" s="67"/>
      <c r="RWA368" s="67"/>
      <c r="RWC368" s="357"/>
      <c r="RWD368" s="67"/>
      <c r="RWE368" s="67"/>
      <c r="RWG368" s="357"/>
      <c r="RWH368" s="67"/>
      <c r="RWI368" s="67"/>
      <c r="RWK368" s="357"/>
      <c r="RWL368" s="67"/>
      <c r="RWM368" s="67"/>
      <c r="RWO368" s="357"/>
      <c r="RWP368" s="67"/>
      <c r="RWQ368" s="67"/>
      <c r="RWS368" s="357"/>
      <c r="RWT368" s="67"/>
      <c r="RWU368" s="67"/>
      <c r="RWW368" s="357"/>
      <c r="RWX368" s="67"/>
      <c r="RWY368" s="67"/>
      <c r="RXA368" s="357"/>
      <c r="RXB368" s="67"/>
      <c r="RXC368" s="67"/>
      <c r="RXE368" s="357"/>
      <c r="RXF368" s="67"/>
      <c r="RXG368" s="67"/>
      <c r="RXI368" s="357"/>
      <c r="RXJ368" s="67"/>
      <c r="RXK368" s="67"/>
      <c r="RXM368" s="357"/>
      <c r="RXN368" s="67"/>
      <c r="RXO368" s="67"/>
      <c r="RXQ368" s="357"/>
      <c r="RXR368" s="67"/>
      <c r="RXS368" s="67"/>
      <c r="RXU368" s="357"/>
      <c r="RXV368" s="67"/>
      <c r="RXW368" s="67"/>
      <c r="RXY368" s="357"/>
      <c r="RXZ368" s="67"/>
      <c r="RYA368" s="67"/>
      <c r="RYC368" s="357"/>
      <c r="RYD368" s="67"/>
      <c r="RYE368" s="67"/>
      <c r="RYG368" s="357"/>
      <c r="RYH368" s="67"/>
      <c r="RYI368" s="67"/>
      <c r="RYK368" s="357"/>
      <c r="RYL368" s="67"/>
      <c r="RYM368" s="67"/>
      <c r="RYO368" s="357"/>
      <c r="RYP368" s="67"/>
      <c r="RYQ368" s="67"/>
      <c r="RYS368" s="357"/>
      <c r="RYT368" s="67"/>
      <c r="RYU368" s="67"/>
      <c r="RYW368" s="357"/>
      <c r="RYX368" s="67"/>
      <c r="RYY368" s="67"/>
      <c r="RZA368" s="357"/>
      <c r="RZB368" s="67"/>
      <c r="RZC368" s="67"/>
      <c r="RZE368" s="357"/>
      <c r="RZF368" s="67"/>
      <c r="RZG368" s="67"/>
      <c r="RZI368" s="357"/>
      <c r="RZJ368" s="67"/>
      <c r="RZK368" s="67"/>
      <c r="RZM368" s="357"/>
      <c r="RZN368" s="67"/>
      <c r="RZO368" s="67"/>
      <c r="RZQ368" s="357"/>
      <c r="RZR368" s="67"/>
      <c r="RZS368" s="67"/>
      <c r="RZU368" s="357"/>
      <c r="RZV368" s="67"/>
      <c r="RZW368" s="67"/>
      <c r="RZY368" s="357"/>
      <c r="RZZ368" s="67"/>
      <c r="SAA368" s="67"/>
      <c r="SAC368" s="357"/>
      <c r="SAD368" s="67"/>
      <c r="SAE368" s="67"/>
      <c r="SAG368" s="357"/>
      <c r="SAH368" s="67"/>
      <c r="SAI368" s="67"/>
      <c r="SAK368" s="357"/>
      <c r="SAL368" s="67"/>
      <c r="SAM368" s="67"/>
      <c r="SAO368" s="357"/>
      <c r="SAP368" s="67"/>
      <c r="SAQ368" s="67"/>
      <c r="SAS368" s="357"/>
      <c r="SAT368" s="67"/>
      <c r="SAU368" s="67"/>
      <c r="SAW368" s="357"/>
      <c r="SAX368" s="67"/>
      <c r="SAY368" s="67"/>
      <c r="SBA368" s="357"/>
      <c r="SBB368" s="67"/>
      <c r="SBC368" s="67"/>
      <c r="SBE368" s="357"/>
      <c r="SBF368" s="67"/>
      <c r="SBG368" s="67"/>
      <c r="SBI368" s="357"/>
      <c r="SBJ368" s="67"/>
      <c r="SBK368" s="67"/>
      <c r="SBM368" s="357"/>
      <c r="SBN368" s="67"/>
      <c r="SBO368" s="67"/>
      <c r="SBQ368" s="357"/>
      <c r="SBR368" s="67"/>
      <c r="SBS368" s="67"/>
      <c r="SBU368" s="357"/>
      <c r="SBV368" s="67"/>
      <c r="SBW368" s="67"/>
      <c r="SBY368" s="357"/>
      <c r="SBZ368" s="67"/>
      <c r="SCA368" s="67"/>
      <c r="SCC368" s="357"/>
      <c r="SCD368" s="67"/>
      <c r="SCE368" s="67"/>
      <c r="SCG368" s="357"/>
      <c r="SCH368" s="67"/>
      <c r="SCI368" s="67"/>
      <c r="SCK368" s="357"/>
      <c r="SCL368" s="67"/>
      <c r="SCM368" s="67"/>
      <c r="SCO368" s="357"/>
      <c r="SCP368" s="67"/>
      <c r="SCQ368" s="67"/>
      <c r="SCS368" s="357"/>
      <c r="SCT368" s="67"/>
      <c r="SCU368" s="67"/>
      <c r="SCW368" s="357"/>
      <c r="SCX368" s="67"/>
      <c r="SCY368" s="67"/>
      <c r="SDA368" s="357"/>
      <c r="SDB368" s="67"/>
      <c r="SDC368" s="67"/>
      <c r="SDE368" s="357"/>
      <c r="SDF368" s="67"/>
      <c r="SDG368" s="67"/>
      <c r="SDI368" s="357"/>
      <c r="SDJ368" s="67"/>
      <c r="SDK368" s="67"/>
      <c r="SDM368" s="357"/>
      <c r="SDN368" s="67"/>
      <c r="SDO368" s="67"/>
      <c r="SDQ368" s="357"/>
      <c r="SDR368" s="67"/>
      <c r="SDS368" s="67"/>
      <c r="SDU368" s="357"/>
      <c r="SDV368" s="67"/>
      <c r="SDW368" s="67"/>
      <c r="SDY368" s="357"/>
      <c r="SDZ368" s="67"/>
      <c r="SEA368" s="67"/>
      <c r="SEC368" s="357"/>
      <c r="SED368" s="67"/>
      <c r="SEE368" s="67"/>
      <c r="SEG368" s="357"/>
      <c r="SEH368" s="67"/>
      <c r="SEI368" s="67"/>
      <c r="SEK368" s="357"/>
      <c r="SEL368" s="67"/>
      <c r="SEM368" s="67"/>
      <c r="SEO368" s="357"/>
      <c r="SEP368" s="67"/>
      <c r="SEQ368" s="67"/>
      <c r="SES368" s="357"/>
      <c r="SET368" s="67"/>
      <c r="SEU368" s="67"/>
      <c r="SEW368" s="357"/>
      <c r="SEX368" s="67"/>
      <c r="SEY368" s="67"/>
      <c r="SFA368" s="357"/>
      <c r="SFB368" s="67"/>
      <c r="SFC368" s="67"/>
      <c r="SFE368" s="357"/>
      <c r="SFF368" s="67"/>
      <c r="SFG368" s="67"/>
      <c r="SFI368" s="357"/>
      <c r="SFJ368" s="67"/>
      <c r="SFK368" s="67"/>
      <c r="SFM368" s="357"/>
      <c r="SFN368" s="67"/>
      <c r="SFO368" s="67"/>
      <c r="SFQ368" s="357"/>
      <c r="SFR368" s="67"/>
      <c r="SFS368" s="67"/>
      <c r="SFU368" s="357"/>
      <c r="SFV368" s="67"/>
      <c r="SFW368" s="67"/>
      <c r="SFY368" s="357"/>
      <c r="SFZ368" s="67"/>
      <c r="SGA368" s="67"/>
      <c r="SGC368" s="357"/>
      <c r="SGD368" s="67"/>
      <c r="SGE368" s="67"/>
      <c r="SGG368" s="357"/>
      <c r="SGH368" s="67"/>
      <c r="SGI368" s="67"/>
      <c r="SGK368" s="357"/>
      <c r="SGL368" s="67"/>
      <c r="SGM368" s="67"/>
      <c r="SGO368" s="357"/>
      <c r="SGP368" s="67"/>
      <c r="SGQ368" s="67"/>
      <c r="SGS368" s="357"/>
      <c r="SGT368" s="67"/>
      <c r="SGU368" s="67"/>
      <c r="SGW368" s="357"/>
      <c r="SGX368" s="67"/>
      <c r="SGY368" s="67"/>
      <c r="SHA368" s="357"/>
      <c r="SHB368" s="67"/>
      <c r="SHC368" s="67"/>
      <c r="SHE368" s="357"/>
      <c r="SHF368" s="67"/>
      <c r="SHG368" s="67"/>
      <c r="SHI368" s="357"/>
      <c r="SHJ368" s="67"/>
      <c r="SHK368" s="67"/>
      <c r="SHM368" s="357"/>
      <c r="SHN368" s="67"/>
      <c r="SHO368" s="67"/>
      <c r="SHQ368" s="357"/>
      <c r="SHR368" s="67"/>
      <c r="SHS368" s="67"/>
      <c r="SHU368" s="357"/>
      <c r="SHV368" s="67"/>
      <c r="SHW368" s="67"/>
      <c r="SHY368" s="357"/>
      <c r="SHZ368" s="67"/>
      <c r="SIA368" s="67"/>
      <c r="SIC368" s="357"/>
      <c r="SID368" s="67"/>
      <c r="SIE368" s="67"/>
      <c r="SIG368" s="357"/>
      <c r="SIH368" s="67"/>
      <c r="SII368" s="67"/>
      <c r="SIK368" s="357"/>
      <c r="SIL368" s="67"/>
      <c r="SIM368" s="67"/>
      <c r="SIO368" s="357"/>
      <c r="SIP368" s="67"/>
      <c r="SIQ368" s="67"/>
      <c r="SIS368" s="357"/>
      <c r="SIT368" s="67"/>
      <c r="SIU368" s="67"/>
      <c r="SIW368" s="357"/>
      <c r="SIX368" s="67"/>
      <c r="SIY368" s="67"/>
      <c r="SJA368" s="357"/>
      <c r="SJB368" s="67"/>
      <c r="SJC368" s="67"/>
      <c r="SJE368" s="357"/>
      <c r="SJF368" s="67"/>
      <c r="SJG368" s="67"/>
      <c r="SJI368" s="357"/>
      <c r="SJJ368" s="67"/>
      <c r="SJK368" s="67"/>
      <c r="SJM368" s="357"/>
      <c r="SJN368" s="67"/>
      <c r="SJO368" s="67"/>
      <c r="SJQ368" s="357"/>
      <c r="SJR368" s="67"/>
      <c r="SJS368" s="67"/>
      <c r="SJU368" s="357"/>
      <c r="SJV368" s="67"/>
      <c r="SJW368" s="67"/>
      <c r="SJY368" s="357"/>
      <c r="SJZ368" s="67"/>
      <c r="SKA368" s="67"/>
      <c r="SKC368" s="357"/>
      <c r="SKD368" s="67"/>
      <c r="SKE368" s="67"/>
      <c r="SKG368" s="357"/>
      <c r="SKH368" s="67"/>
      <c r="SKI368" s="67"/>
      <c r="SKK368" s="357"/>
      <c r="SKL368" s="67"/>
      <c r="SKM368" s="67"/>
      <c r="SKO368" s="357"/>
      <c r="SKP368" s="67"/>
      <c r="SKQ368" s="67"/>
      <c r="SKS368" s="357"/>
      <c r="SKT368" s="67"/>
      <c r="SKU368" s="67"/>
      <c r="SKW368" s="357"/>
      <c r="SKX368" s="67"/>
      <c r="SKY368" s="67"/>
      <c r="SLA368" s="357"/>
      <c r="SLB368" s="67"/>
      <c r="SLC368" s="67"/>
      <c r="SLE368" s="357"/>
      <c r="SLF368" s="67"/>
      <c r="SLG368" s="67"/>
      <c r="SLI368" s="357"/>
      <c r="SLJ368" s="67"/>
      <c r="SLK368" s="67"/>
      <c r="SLM368" s="357"/>
      <c r="SLN368" s="67"/>
      <c r="SLO368" s="67"/>
      <c r="SLQ368" s="357"/>
      <c r="SLR368" s="67"/>
      <c r="SLS368" s="67"/>
      <c r="SLU368" s="357"/>
      <c r="SLV368" s="67"/>
      <c r="SLW368" s="67"/>
      <c r="SLY368" s="357"/>
      <c r="SLZ368" s="67"/>
      <c r="SMA368" s="67"/>
      <c r="SMC368" s="357"/>
      <c r="SMD368" s="67"/>
      <c r="SME368" s="67"/>
      <c r="SMG368" s="357"/>
      <c r="SMH368" s="67"/>
      <c r="SMI368" s="67"/>
      <c r="SMK368" s="357"/>
      <c r="SML368" s="67"/>
      <c r="SMM368" s="67"/>
      <c r="SMO368" s="357"/>
      <c r="SMP368" s="67"/>
      <c r="SMQ368" s="67"/>
      <c r="SMS368" s="357"/>
      <c r="SMT368" s="67"/>
      <c r="SMU368" s="67"/>
      <c r="SMW368" s="357"/>
      <c r="SMX368" s="67"/>
      <c r="SMY368" s="67"/>
      <c r="SNA368" s="357"/>
      <c r="SNB368" s="67"/>
      <c r="SNC368" s="67"/>
      <c r="SNE368" s="357"/>
      <c r="SNF368" s="67"/>
      <c r="SNG368" s="67"/>
      <c r="SNI368" s="357"/>
      <c r="SNJ368" s="67"/>
      <c r="SNK368" s="67"/>
      <c r="SNM368" s="357"/>
      <c r="SNN368" s="67"/>
      <c r="SNO368" s="67"/>
      <c r="SNQ368" s="357"/>
      <c r="SNR368" s="67"/>
      <c r="SNS368" s="67"/>
      <c r="SNU368" s="357"/>
      <c r="SNV368" s="67"/>
      <c r="SNW368" s="67"/>
      <c r="SNY368" s="357"/>
      <c r="SNZ368" s="67"/>
      <c r="SOA368" s="67"/>
      <c r="SOC368" s="357"/>
      <c r="SOD368" s="67"/>
      <c r="SOE368" s="67"/>
      <c r="SOG368" s="357"/>
      <c r="SOH368" s="67"/>
      <c r="SOI368" s="67"/>
      <c r="SOK368" s="357"/>
      <c r="SOL368" s="67"/>
      <c r="SOM368" s="67"/>
      <c r="SOO368" s="357"/>
      <c r="SOP368" s="67"/>
      <c r="SOQ368" s="67"/>
      <c r="SOS368" s="357"/>
      <c r="SOT368" s="67"/>
      <c r="SOU368" s="67"/>
      <c r="SOW368" s="357"/>
      <c r="SOX368" s="67"/>
      <c r="SOY368" s="67"/>
      <c r="SPA368" s="357"/>
      <c r="SPB368" s="67"/>
      <c r="SPC368" s="67"/>
      <c r="SPE368" s="357"/>
      <c r="SPF368" s="67"/>
      <c r="SPG368" s="67"/>
      <c r="SPI368" s="357"/>
      <c r="SPJ368" s="67"/>
      <c r="SPK368" s="67"/>
      <c r="SPM368" s="357"/>
      <c r="SPN368" s="67"/>
      <c r="SPO368" s="67"/>
      <c r="SPQ368" s="357"/>
      <c r="SPR368" s="67"/>
      <c r="SPS368" s="67"/>
      <c r="SPU368" s="357"/>
      <c r="SPV368" s="67"/>
      <c r="SPW368" s="67"/>
      <c r="SPY368" s="357"/>
      <c r="SPZ368" s="67"/>
      <c r="SQA368" s="67"/>
      <c r="SQC368" s="357"/>
      <c r="SQD368" s="67"/>
      <c r="SQE368" s="67"/>
      <c r="SQG368" s="357"/>
      <c r="SQH368" s="67"/>
      <c r="SQI368" s="67"/>
      <c r="SQK368" s="357"/>
      <c r="SQL368" s="67"/>
      <c r="SQM368" s="67"/>
      <c r="SQO368" s="357"/>
      <c r="SQP368" s="67"/>
      <c r="SQQ368" s="67"/>
      <c r="SQS368" s="357"/>
      <c r="SQT368" s="67"/>
      <c r="SQU368" s="67"/>
      <c r="SQW368" s="357"/>
      <c r="SQX368" s="67"/>
      <c r="SQY368" s="67"/>
      <c r="SRA368" s="357"/>
      <c r="SRB368" s="67"/>
      <c r="SRC368" s="67"/>
      <c r="SRE368" s="357"/>
      <c r="SRF368" s="67"/>
      <c r="SRG368" s="67"/>
      <c r="SRI368" s="357"/>
      <c r="SRJ368" s="67"/>
      <c r="SRK368" s="67"/>
      <c r="SRM368" s="357"/>
      <c r="SRN368" s="67"/>
      <c r="SRO368" s="67"/>
      <c r="SRQ368" s="357"/>
      <c r="SRR368" s="67"/>
      <c r="SRS368" s="67"/>
      <c r="SRU368" s="357"/>
      <c r="SRV368" s="67"/>
      <c r="SRW368" s="67"/>
      <c r="SRY368" s="357"/>
      <c r="SRZ368" s="67"/>
      <c r="SSA368" s="67"/>
      <c r="SSC368" s="357"/>
      <c r="SSD368" s="67"/>
      <c r="SSE368" s="67"/>
      <c r="SSG368" s="357"/>
      <c r="SSH368" s="67"/>
      <c r="SSI368" s="67"/>
      <c r="SSK368" s="357"/>
      <c r="SSL368" s="67"/>
      <c r="SSM368" s="67"/>
      <c r="SSO368" s="357"/>
      <c r="SSP368" s="67"/>
      <c r="SSQ368" s="67"/>
      <c r="SSS368" s="357"/>
      <c r="SST368" s="67"/>
      <c r="SSU368" s="67"/>
      <c r="SSW368" s="357"/>
      <c r="SSX368" s="67"/>
      <c r="SSY368" s="67"/>
      <c r="STA368" s="357"/>
      <c r="STB368" s="67"/>
      <c r="STC368" s="67"/>
      <c r="STE368" s="357"/>
      <c r="STF368" s="67"/>
      <c r="STG368" s="67"/>
      <c r="STI368" s="357"/>
      <c r="STJ368" s="67"/>
      <c r="STK368" s="67"/>
      <c r="STM368" s="357"/>
      <c r="STN368" s="67"/>
      <c r="STO368" s="67"/>
      <c r="STQ368" s="357"/>
      <c r="STR368" s="67"/>
      <c r="STS368" s="67"/>
      <c r="STU368" s="357"/>
      <c r="STV368" s="67"/>
      <c r="STW368" s="67"/>
      <c r="STY368" s="357"/>
      <c r="STZ368" s="67"/>
      <c r="SUA368" s="67"/>
      <c r="SUC368" s="357"/>
      <c r="SUD368" s="67"/>
      <c r="SUE368" s="67"/>
      <c r="SUG368" s="357"/>
      <c r="SUH368" s="67"/>
      <c r="SUI368" s="67"/>
      <c r="SUK368" s="357"/>
      <c r="SUL368" s="67"/>
      <c r="SUM368" s="67"/>
      <c r="SUO368" s="357"/>
      <c r="SUP368" s="67"/>
      <c r="SUQ368" s="67"/>
      <c r="SUS368" s="357"/>
      <c r="SUT368" s="67"/>
      <c r="SUU368" s="67"/>
      <c r="SUW368" s="357"/>
      <c r="SUX368" s="67"/>
      <c r="SUY368" s="67"/>
      <c r="SVA368" s="357"/>
      <c r="SVB368" s="67"/>
      <c r="SVC368" s="67"/>
      <c r="SVE368" s="357"/>
      <c r="SVF368" s="67"/>
      <c r="SVG368" s="67"/>
      <c r="SVI368" s="357"/>
      <c r="SVJ368" s="67"/>
      <c r="SVK368" s="67"/>
      <c r="SVM368" s="357"/>
      <c r="SVN368" s="67"/>
      <c r="SVO368" s="67"/>
      <c r="SVQ368" s="357"/>
      <c r="SVR368" s="67"/>
      <c r="SVS368" s="67"/>
      <c r="SVU368" s="357"/>
      <c r="SVV368" s="67"/>
      <c r="SVW368" s="67"/>
      <c r="SVY368" s="357"/>
      <c r="SVZ368" s="67"/>
      <c r="SWA368" s="67"/>
      <c r="SWC368" s="357"/>
      <c r="SWD368" s="67"/>
      <c r="SWE368" s="67"/>
      <c r="SWG368" s="357"/>
      <c r="SWH368" s="67"/>
      <c r="SWI368" s="67"/>
      <c r="SWK368" s="357"/>
      <c r="SWL368" s="67"/>
      <c r="SWM368" s="67"/>
      <c r="SWO368" s="357"/>
      <c r="SWP368" s="67"/>
      <c r="SWQ368" s="67"/>
      <c r="SWS368" s="357"/>
      <c r="SWT368" s="67"/>
      <c r="SWU368" s="67"/>
      <c r="SWW368" s="357"/>
      <c r="SWX368" s="67"/>
      <c r="SWY368" s="67"/>
      <c r="SXA368" s="357"/>
      <c r="SXB368" s="67"/>
      <c r="SXC368" s="67"/>
      <c r="SXE368" s="357"/>
      <c r="SXF368" s="67"/>
      <c r="SXG368" s="67"/>
      <c r="SXI368" s="357"/>
      <c r="SXJ368" s="67"/>
      <c r="SXK368" s="67"/>
      <c r="SXM368" s="357"/>
      <c r="SXN368" s="67"/>
      <c r="SXO368" s="67"/>
      <c r="SXQ368" s="357"/>
      <c r="SXR368" s="67"/>
      <c r="SXS368" s="67"/>
      <c r="SXU368" s="357"/>
      <c r="SXV368" s="67"/>
      <c r="SXW368" s="67"/>
      <c r="SXY368" s="357"/>
      <c r="SXZ368" s="67"/>
      <c r="SYA368" s="67"/>
      <c r="SYC368" s="357"/>
      <c r="SYD368" s="67"/>
      <c r="SYE368" s="67"/>
      <c r="SYG368" s="357"/>
      <c r="SYH368" s="67"/>
      <c r="SYI368" s="67"/>
      <c r="SYK368" s="357"/>
      <c r="SYL368" s="67"/>
      <c r="SYM368" s="67"/>
      <c r="SYO368" s="357"/>
      <c r="SYP368" s="67"/>
      <c r="SYQ368" s="67"/>
      <c r="SYS368" s="357"/>
      <c r="SYT368" s="67"/>
      <c r="SYU368" s="67"/>
      <c r="SYW368" s="357"/>
      <c r="SYX368" s="67"/>
      <c r="SYY368" s="67"/>
      <c r="SZA368" s="357"/>
      <c r="SZB368" s="67"/>
      <c r="SZC368" s="67"/>
      <c r="SZE368" s="357"/>
      <c r="SZF368" s="67"/>
      <c r="SZG368" s="67"/>
      <c r="SZI368" s="357"/>
      <c r="SZJ368" s="67"/>
      <c r="SZK368" s="67"/>
      <c r="SZM368" s="357"/>
      <c r="SZN368" s="67"/>
      <c r="SZO368" s="67"/>
      <c r="SZQ368" s="357"/>
      <c r="SZR368" s="67"/>
      <c r="SZS368" s="67"/>
      <c r="SZU368" s="357"/>
      <c r="SZV368" s="67"/>
      <c r="SZW368" s="67"/>
      <c r="SZY368" s="357"/>
      <c r="SZZ368" s="67"/>
      <c r="TAA368" s="67"/>
      <c r="TAC368" s="357"/>
      <c r="TAD368" s="67"/>
      <c r="TAE368" s="67"/>
      <c r="TAG368" s="357"/>
      <c r="TAH368" s="67"/>
      <c r="TAI368" s="67"/>
      <c r="TAK368" s="357"/>
      <c r="TAL368" s="67"/>
      <c r="TAM368" s="67"/>
      <c r="TAO368" s="357"/>
      <c r="TAP368" s="67"/>
      <c r="TAQ368" s="67"/>
      <c r="TAS368" s="357"/>
      <c r="TAT368" s="67"/>
      <c r="TAU368" s="67"/>
      <c r="TAW368" s="357"/>
      <c r="TAX368" s="67"/>
      <c r="TAY368" s="67"/>
      <c r="TBA368" s="357"/>
      <c r="TBB368" s="67"/>
      <c r="TBC368" s="67"/>
      <c r="TBE368" s="357"/>
      <c r="TBF368" s="67"/>
      <c r="TBG368" s="67"/>
      <c r="TBI368" s="357"/>
      <c r="TBJ368" s="67"/>
      <c r="TBK368" s="67"/>
      <c r="TBM368" s="357"/>
      <c r="TBN368" s="67"/>
      <c r="TBO368" s="67"/>
      <c r="TBQ368" s="357"/>
      <c r="TBR368" s="67"/>
      <c r="TBS368" s="67"/>
      <c r="TBU368" s="357"/>
      <c r="TBV368" s="67"/>
      <c r="TBW368" s="67"/>
      <c r="TBY368" s="357"/>
      <c r="TBZ368" s="67"/>
      <c r="TCA368" s="67"/>
      <c r="TCC368" s="357"/>
      <c r="TCD368" s="67"/>
      <c r="TCE368" s="67"/>
      <c r="TCG368" s="357"/>
      <c r="TCH368" s="67"/>
      <c r="TCI368" s="67"/>
      <c r="TCK368" s="357"/>
      <c r="TCL368" s="67"/>
      <c r="TCM368" s="67"/>
      <c r="TCO368" s="357"/>
      <c r="TCP368" s="67"/>
      <c r="TCQ368" s="67"/>
      <c r="TCS368" s="357"/>
      <c r="TCT368" s="67"/>
      <c r="TCU368" s="67"/>
      <c r="TCW368" s="357"/>
      <c r="TCX368" s="67"/>
      <c r="TCY368" s="67"/>
      <c r="TDA368" s="357"/>
      <c r="TDB368" s="67"/>
      <c r="TDC368" s="67"/>
      <c r="TDE368" s="357"/>
      <c r="TDF368" s="67"/>
      <c r="TDG368" s="67"/>
      <c r="TDI368" s="357"/>
      <c r="TDJ368" s="67"/>
      <c r="TDK368" s="67"/>
      <c r="TDM368" s="357"/>
      <c r="TDN368" s="67"/>
      <c r="TDO368" s="67"/>
      <c r="TDQ368" s="357"/>
      <c r="TDR368" s="67"/>
      <c r="TDS368" s="67"/>
      <c r="TDU368" s="357"/>
      <c r="TDV368" s="67"/>
      <c r="TDW368" s="67"/>
      <c r="TDY368" s="357"/>
      <c r="TDZ368" s="67"/>
      <c r="TEA368" s="67"/>
      <c r="TEC368" s="357"/>
      <c r="TED368" s="67"/>
      <c r="TEE368" s="67"/>
      <c r="TEG368" s="357"/>
      <c r="TEH368" s="67"/>
      <c r="TEI368" s="67"/>
      <c r="TEK368" s="357"/>
      <c r="TEL368" s="67"/>
      <c r="TEM368" s="67"/>
      <c r="TEO368" s="357"/>
      <c r="TEP368" s="67"/>
      <c r="TEQ368" s="67"/>
      <c r="TES368" s="357"/>
      <c r="TET368" s="67"/>
      <c r="TEU368" s="67"/>
      <c r="TEW368" s="357"/>
      <c r="TEX368" s="67"/>
      <c r="TEY368" s="67"/>
      <c r="TFA368" s="357"/>
      <c r="TFB368" s="67"/>
      <c r="TFC368" s="67"/>
      <c r="TFE368" s="357"/>
      <c r="TFF368" s="67"/>
      <c r="TFG368" s="67"/>
      <c r="TFI368" s="357"/>
      <c r="TFJ368" s="67"/>
      <c r="TFK368" s="67"/>
      <c r="TFM368" s="357"/>
      <c r="TFN368" s="67"/>
      <c r="TFO368" s="67"/>
      <c r="TFQ368" s="357"/>
      <c r="TFR368" s="67"/>
      <c r="TFS368" s="67"/>
      <c r="TFU368" s="357"/>
      <c r="TFV368" s="67"/>
      <c r="TFW368" s="67"/>
      <c r="TFY368" s="357"/>
      <c r="TFZ368" s="67"/>
      <c r="TGA368" s="67"/>
      <c r="TGC368" s="357"/>
      <c r="TGD368" s="67"/>
      <c r="TGE368" s="67"/>
      <c r="TGG368" s="357"/>
      <c r="TGH368" s="67"/>
      <c r="TGI368" s="67"/>
      <c r="TGK368" s="357"/>
      <c r="TGL368" s="67"/>
      <c r="TGM368" s="67"/>
      <c r="TGO368" s="357"/>
      <c r="TGP368" s="67"/>
      <c r="TGQ368" s="67"/>
      <c r="TGS368" s="357"/>
      <c r="TGT368" s="67"/>
      <c r="TGU368" s="67"/>
      <c r="TGW368" s="357"/>
      <c r="TGX368" s="67"/>
      <c r="TGY368" s="67"/>
      <c r="THA368" s="357"/>
      <c r="THB368" s="67"/>
      <c r="THC368" s="67"/>
      <c r="THE368" s="357"/>
      <c r="THF368" s="67"/>
      <c r="THG368" s="67"/>
      <c r="THI368" s="357"/>
      <c r="THJ368" s="67"/>
      <c r="THK368" s="67"/>
      <c r="THM368" s="357"/>
      <c r="THN368" s="67"/>
      <c r="THO368" s="67"/>
      <c r="THQ368" s="357"/>
      <c r="THR368" s="67"/>
      <c r="THS368" s="67"/>
      <c r="THU368" s="357"/>
      <c r="THV368" s="67"/>
      <c r="THW368" s="67"/>
      <c r="THY368" s="357"/>
      <c r="THZ368" s="67"/>
      <c r="TIA368" s="67"/>
      <c r="TIC368" s="357"/>
      <c r="TID368" s="67"/>
      <c r="TIE368" s="67"/>
      <c r="TIG368" s="357"/>
      <c r="TIH368" s="67"/>
      <c r="TII368" s="67"/>
      <c r="TIK368" s="357"/>
      <c r="TIL368" s="67"/>
      <c r="TIM368" s="67"/>
      <c r="TIO368" s="357"/>
      <c r="TIP368" s="67"/>
      <c r="TIQ368" s="67"/>
      <c r="TIS368" s="357"/>
      <c r="TIT368" s="67"/>
      <c r="TIU368" s="67"/>
      <c r="TIW368" s="357"/>
      <c r="TIX368" s="67"/>
      <c r="TIY368" s="67"/>
      <c r="TJA368" s="357"/>
      <c r="TJB368" s="67"/>
      <c r="TJC368" s="67"/>
      <c r="TJE368" s="357"/>
      <c r="TJF368" s="67"/>
      <c r="TJG368" s="67"/>
      <c r="TJI368" s="357"/>
      <c r="TJJ368" s="67"/>
      <c r="TJK368" s="67"/>
      <c r="TJM368" s="357"/>
      <c r="TJN368" s="67"/>
      <c r="TJO368" s="67"/>
      <c r="TJQ368" s="357"/>
      <c r="TJR368" s="67"/>
      <c r="TJS368" s="67"/>
      <c r="TJU368" s="357"/>
      <c r="TJV368" s="67"/>
      <c r="TJW368" s="67"/>
      <c r="TJY368" s="357"/>
      <c r="TJZ368" s="67"/>
      <c r="TKA368" s="67"/>
      <c r="TKC368" s="357"/>
      <c r="TKD368" s="67"/>
      <c r="TKE368" s="67"/>
      <c r="TKG368" s="357"/>
      <c r="TKH368" s="67"/>
      <c r="TKI368" s="67"/>
      <c r="TKK368" s="357"/>
      <c r="TKL368" s="67"/>
      <c r="TKM368" s="67"/>
      <c r="TKO368" s="357"/>
      <c r="TKP368" s="67"/>
      <c r="TKQ368" s="67"/>
      <c r="TKS368" s="357"/>
      <c r="TKT368" s="67"/>
      <c r="TKU368" s="67"/>
      <c r="TKW368" s="357"/>
      <c r="TKX368" s="67"/>
      <c r="TKY368" s="67"/>
      <c r="TLA368" s="357"/>
      <c r="TLB368" s="67"/>
      <c r="TLC368" s="67"/>
      <c r="TLE368" s="357"/>
      <c r="TLF368" s="67"/>
      <c r="TLG368" s="67"/>
      <c r="TLI368" s="357"/>
      <c r="TLJ368" s="67"/>
      <c r="TLK368" s="67"/>
      <c r="TLM368" s="357"/>
      <c r="TLN368" s="67"/>
      <c r="TLO368" s="67"/>
      <c r="TLQ368" s="357"/>
      <c r="TLR368" s="67"/>
      <c r="TLS368" s="67"/>
      <c r="TLU368" s="357"/>
      <c r="TLV368" s="67"/>
      <c r="TLW368" s="67"/>
      <c r="TLY368" s="357"/>
      <c r="TLZ368" s="67"/>
      <c r="TMA368" s="67"/>
      <c r="TMC368" s="357"/>
      <c r="TMD368" s="67"/>
      <c r="TME368" s="67"/>
      <c r="TMG368" s="357"/>
      <c r="TMH368" s="67"/>
      <c r="TMI368" s="67"/>
      <c r="TMK368" s="357"/>
      <c r="TML368" s="67"/>
      <c r="TMM368" s="67"/>
      <c r="TMO368" s="357"/>
      <c r="TMP368" s="67"/>
      <c r="TMQ368" s="67"/>
      <c r="TMS368" s="357"/>
      <c r="TMT368" s="67"/>
      <c r="TMU368" s="67"/>
      <c r="TMW368" s="357"/>
      <c r="TMX368" s="67"/>
      <c r="TMY368" s="67"/>
      <c r="TNA368" s="357"/>
      <c r="TNB368" s="67"/>
      <c r="TNC368" s="67"/>
      <c r="TNE368" s="357"/>
      <c r="TNF368" s="67"/>
      <c r="TNG368" s="67"/>
      <c r="TNI368" s="357"/>
      <c r="TNJ368" s="67"/>
      <c r="TNK368" s="67"/>
      <c r="TNM368" s="357"/>
      <c r="TNN368" s="67"/>
      <c r="TNO368" s="67"/>
      <c r="TNQ368" s="357"/>
      <c r="TNR368" s="67"/>
      <c r="TNS368" s="67"/>
      <c r="TNU368" s="357"/>
      <c r="TNV368" s="67"/>
      <c r="TNW368" s="67"/>
      <c r="TNY368" s="357"/>
      <c r="TNZ368" s="67"/>
      <c r="TOA368" s="67"/>
      <c r="TOC368" s="357"/>
      <c r="TOD368" s="67"/>
      <c r="TOE368" s="67"/>
      <c r="TOG368" s="357"/>
      <c r="TOH368" s="67"/>
      <c r="TOI368" s="67"/>
      <c r="TOK368" s="357"/>
      <c r="TOL368" s="67"/>
      <c r="TOM368" s="67"/>
      <c r="TOO368" s="357"/>
      <c r="TOP368" s="67"/>
      <c r="TOQ368" s="67"/>
      <c r="TOS368" s="357"/>
      <c r="TOT368" s="67"/>
      <c r="TOU368" s="67"/>
      <c r="TOW368" s="357"/>
      <c r="TOX368" s="67"/>
      <c r="TOY368" s="67"/>
      <c r="TPA368" s="357"/>
      <c r="TPB368" s="67"/>
      <c r="TPC368" s="67"/>
      <c r="TPE368" s="357"/>
      <c r="TPF368" s="67"/>
      <c r="TPG368" s="67"/>
      <c r="TPI368" s="357"/>
      <c r="TPJ368" s="67"/>
      <c r="TPK368" s="67"/>
      <c r="TPM368" s="357"/>
      <c r="TPN368" s="67"/>
      <c r="TPO368" s="67"/>
      <c r="TPQ368" s="357"/>
      <c r="TPR368" s="67"/>
      <c r="TPS368" s="67"/>
      <c r="TPU368" s="357"/>
      <c r="TPV368" s="67"/>
      <c r="TPW368" s="67"/>
      <c r="TPY368" s="357"/>
      <c r="TPZ368" s="67"/>
      <c r="TQA368" s="67"/>
      <c r="TQC368" s="357"/>
      <c r="TQD368" s="67"/>
      <c r="TQE368" s="67"/>
      <c r="TQG368" s="357"/>
      <c r="TQH368" s="67"/>
      <c r="TQI368" s="67"/>
      <c r="TQK368" s="357"/>
      <c r="TQL368" s="67"/>
      <c r="TQM368" s="67"/>
      <c r="TQO368" s="357"/>
      <c r="TQP368" s="67"/>
      <c r="TQQ368" s="67"/>
      <c r="TQS368" s="357"/>
      <c r="TQT368" s="67"/>
      <c r="TQU368" s="67"/>
      <c r="TQW368" s="357"/>
      <c r="TQX368" s="67"/>
      <c r="TQY368" s="67"/>
      <c r="TRA368" s="357"/>
      <c r="TRB368" s="67"/>
      <c r="TRC368" s="67"/>
      <c r="TRE368" s="357"/>
      <c r="TRF368" s="67"/>
      <c r="TRG368" s="67"/>
      <c r="TRI368" s="357"/>
      <c r="TRJ368" s="67"/>
      <c r="TRK368" s="67"/>
      <c r="TRM368" s="357"/>
      <c r="TRN368" s="67"/>
      <c r="TRO368" s="67"/>
      <c r="TRQ368" s="357"/>
      <c r="TRR368" s="67"/>
      <c r="TRS368" s="67"/>
      <c r="TRU368" s="357"/>
      <c r="TRV368" s="67"/>
      <c r="TRW368" s="67"/>
      <c r="TRY368" s="357"/>
      <c r="TRZ368" s="67"/>
      <c r="TSA368" s="67"/>
      <c r="TSC368" s="357"/>
      <c r="TSD368" s="67"/>
      <c r="TSE368" s="67"/>
      <c r="TSG368" s="357"/>
      <c r="TSH368" s="67"/>
      <c r="TSI368" s="67"/>
      <c r="TSK368" s="357"/>
      <c r="TSL368" s="67"/>
      <c r="TSM368" s="67"/>
      <c r="TSO368" s="357"/>
      <c r="TSP368" s="67"/>
      <c r="TSQ368" s="67"/>
      <c r="TSS368" s="357"/>
      <c r="TST368" s="67"/>
      <c r="TSU368" s="67"/>
      <c r="TSW368" s="357"/>
      <c r="TSX368" s="67"/>
      <c r="TSY368" s="67"/>
      <c r="TTA368" s="357"/>
      <c r="TTB368" s="67"/>
      <c r="TTC368" s="67"/>
      <c r="TTE368" s="357"/>
      <c r="TTF368" s="67"/>
      <c r="TTG368" s="67"/>
      <c r="TTI368" s="357"/>
      <c r="TTJ368" s="67"/>
      <c r="TTK368" s="67"/>
      <c r="TTM368" s="357"/>
      <c r="TTN368" s="67"/>
      <c r="TTO368" s="67"/>
      <c r="TTQ368" s="357"/>
      <c r="TTR368" s="67"/>
      <c r="TTS368" s="67"/>
      <c r="TTU368" s="357"/>
      <c r="TTV368" s="67"/>
      <c r="TTW368" s="67"/>
      <c r="TTY368" s="357"/>
      <c r="TTZ368" s="67"/>
      <c r="TUA368" s="67"/>
      <c r="TUC368" s="357"/>
      <c r="TUD368" s="67"/>
      <c r="TUE368" s="67"/>
      <c r="TUG368" s="357"/>
      <c r="TUH368" s="67"/>
      <c r="TUI368" s="67"/>
      <c r="TUK368" s="357"/>
      <c r="TUL368" s="67"/>
      <c r="TUM368" s="67"/>
      <c r="TUO368" s="357"/>
      <c r="TUP368" s="67"/>
      <c r="TUQ368" s="67"/>
      <c r="TUS368" s="357"/>
      <c r="TUT368" s="67"/>
      <c r="TUU368" s="67"/>
      <c r="TUW368" s="357"/>
      <c r="TUX368" s="67"/>
      <c r="TUY368" s="67"/>
      <c r="TVA368" s="357"/>
      <c r="TVB368" s="67"/>
      <c r="TVC368" s="67"/>
      <c r="TVE368" s="357"/>
      <c r="TVF368" s="67"/>
      <c r="TVG368" s="67"/>
      <c r="TVI368" s="357"/>
      <c r="TVJ368" s="67"/>
      <c r="TVK368" s="67"/>
      <c r="TVM368" s="357"/>
      <c r="TVN368" s="67"/>
      <c r="TVO368" s="67"/>
      <c r="TVQ368" s="357"/>
      <c r="TVR368" s="67"/>
      <c r="TVS368" s="67"/>
      <c r="TVU368" s="357"/>
      <c r="TVV368" s="67"/>
      <c r="TVW368" s="67"/>
      <c r="TVY368" s="357"/>
      <c r="TVZ368" s="67"/>
      <c r="TWA368" s="67"/>
      <c r="TWC368" s="357"/>
      <c r="TWD368" s="67"/>
      <c r="TWE368" s="67"/>
      <c r="TWG368" s="357"/>
      <c r="TWH368" s="67"/>
      <c r="TWI368" s="67"/>
      <c r="TWK368" s="357"/>
      <c r="TWL368" s="67"/>
      <c r="TWM368" s="67"/>
      <c r="TWO368" s="357"/>
      <c r="TWP368" s="67"/>
      <c r="TWQ368" s="67"/>
      <c r="TWS368" s="357"/>
      <c r="TWT368" s="67"/>
      <c r="TWU368" s="67"/>
      <c r="TWW368" s="357"/>
      <c r="TWX368" s="67"/>
      <c r="TWY368" s="67"/>
      <c r="TXA368" s="357"/>
      <c r="TXB368" s="67"/>
      <c r="TXC368" s="67"/>
      <c r="TXE368" s="357"/>
      <c r="TXF368" s="67"/>
      <c r="TXG368" s="67"/>
      <c r="TXI368" s="357"/>
      <c r="TXJ368" s="67"/>
      <c r="TXK368" s="67"/>
      <c r="TXM368" s="357"/>
      <c r="TXN368" s="67"/>
      <c r="TXO368" s="67"/>
      <c r="TXQ368" s="357"/>
      <c r="TXR368" s="67"/>
      <c r="TXS368" s="67"/>
      <c r="TXU368" s="357"/>
      <c r="TXV368" s="67"/>
      <c r="TXW368" s="67"/>
      <c r="TXY368" s="357"/>
      <c r="TXZ368" s="67"/>
      <c r="TYA368" s="67"/>
      <c r="TYC368" s="357"/>
      <c r="TYD368" s="67"/>
      <c r="TYE368" s="67"/>
      <c r="TYG368" s="357"/>
      <c r="TYH368" s="67"/>
      <c r="TYI368" s="67"/>
      <c r="TYK368" s="357"/>
      <c r="TYL368" s="67"/>
      <c r="TYM368" s="67"/>
      <c r="TYO368" s="357"/>
      <c r="TYP368" s="67"/>
      <c r="TYQ368" s="67"/>
      <c r="TYS368" s="357"/>
      <c r="TYT368" s="67"/>
      <c r="TYU368" s="67"/>
      <c r="TYW368" s="357"/>
      <c r="TYX368" s="67"/>
      <c r="TYY368" s="67"/>
      <c r="TZA368" s="357"/>
      <c r="TZB368" s="67"/>
      <c r="TZC368" s="67"/>
      <c r="TZE368" s="357"/>
      <c r="TZF368" s="67"/>
      <c r="TZG368" s="67"/>
      <c r="TZI368" s="357"/>
      <c r="TZJ368" s="67"/>
      <c r="TZK368" s="67"/>
      <c r="TZM368" s="357"/>
      <c r="TZN368" s="67"/>
      <c r="TZO368" s="67"/>
      <c r="TZQ368" s="357"/>
      <c r="TZR368" s="67"/>
      <c r="TZS368" s="67"/>
      <c r="TZU368" s="357"/>
      <c r="TZV368" s="67"/>
      <c r="TZW368" s="67"/>
      <c r="TZY368" s="357"/>
      <c r="TZZ368" s="67"/>
      <c r="UAA368" s="67"/>
      <c r="UAC368" s="357"/>
      <c r="UAD368" s="67"/>
      <c r="UAE368" s="67"/>
      <c r="UAG368" s="357"/>
      <c r="UAH368" s="67"/>
      <c r="UAI368" s="67"/>
      <c r="UAK368" s="357"/>
      <c r="UAL368" s="67"/>
      <c r="UAM368" s="67"/>
      <c r="UAO368" s="357"/>
      <c r="UAP368" s="67"/>
      <c r="UAQ368" s="67"/>
      <c r="UAS368" s="357"/>
      <c r="UAT368" s="67"/>
      <c r="UAU368" s="67"/>
      <c r="UAW368" s="357"/>
      <c r="UAX368" s="67"/>
      <c r="UAY368" s="67"/>
      <c r="UBA368" s="357"/>
      <c r="UBB368" s="67"/>
      <c r="UBC368" s="67"/>
      <c r="UBE368" s="357"/>
      <c r="UBF368" s="67"/>
      <c r="UBG368" s="67"/>
      <c r="UBI368" s="357"/>
      <c r="UBJ368" s="67"/>
      <c r="UBK368" s="67"/>
      <c r="UBM368" s="357"/>
      <c r="UBN368" s="67"/>
      <c r="UBO368" s="67"/>
      <c r="UBQ368" s="357"/>
      <c r="UBR368" s="67"/>
      <c r="UBS368" s="67"/>
      <c r="UBU368" s="357"/>
      <c r="UBV368" s="67"/>
      <c r="UBW368" s="67"/>
      <c r="UBY368" s="357"/>
      <c r="UBZ368" s="67"/>
      <c r="UCA368" s="67"/>
      <c r="UCC368" s="357"/>
      <c r="UCD368" s="67"/>
      <c r="UCE368" s="67"/>
      <c r="UCG368" s="357"/>
      <c r="UCH368" s="67"/>
      <c r="UCI368" s="67"/>
      <c r="UCK368" s="357"/>
      <c r="UCL368" s="67"/>
      <c r="UCM368" s="67"/>
      <c r="UCO368" s="357"/>
      <c r="UCP368" s="67"/>
      <c r="UCQ368" s="67"/>
      <c r="UCS368" s="357"/>
      <c r="UCT368" s="67"/>
      <c r="UCU368" s="67"/>
      <c r="UCW368" s="357"/>
      <c r="UCX368" s="67"/>
      <c r="UCY368" s="67"/>
      <c r="UDA368" s="357"/>
      <c r="UDB368" s="67"/>
      <c r="UDC368" s="67"/>
      <c r="UDE368" s="357"/>
      <c r="UDF368" s="67"/>
      <c r="UDG368" s="67"/>
      <c r="UDI368" s="357"/>
      <c r="UDJ368" s="67"/>
      <c r="UDK368" s="67"/>
      <c r="UDM368" s="357"/>
      <c r="UDN368" s="67"/>
      <c r="UDO368" s="67"/>
      <c r="UDQ368" s="357"/>
      <c r="UDR368" s="67"/>
      <c r="UDS368" s="67"/>
      <c r="UDU368" s="357"/>
      <c r="UDV368" s="67"/>
      <c r="UDW368" s="67"/>
      <c r="UDY368" s="357"/>
      <c r="UDZ368" s="67"/>
      <c r="UEA368" s="67"/>
      <c r="UEC368" s="357"/>
      <c r="UED368" s="67"/>
      <c r="UEE368" s="67"/>
      <c r="UEG368" s="357"/>
      <c r="UEH368" s="67"/>
      <c r="UEI368" s="67"/>
      <c r="UEK368" s="357"/>
      <c r="UEL368" s="67"/>
      <c r="UEM368" s="67"/>
      <c r="UEO368" s="357"/>
      <c r="UEP368" s="67"/>
      <c r="UEQ368" s="67"/>
      <c r="UES368" s="357"/>
      <c r="UET368" s="67"/>
      <c r="UEU368" s="67"/>
      <c r="UEW368" s="357"/>
      <c r="UEX368" s="67"/>
      <c r="UEY368" s="67"/>
      <c r="UFA368" s="357"/>
      <c r="UFB368" s="67"/>
      <c r="UFC368" s="67"/>
      <c r="UFE368" s="357"/>
      <c r="UFF368" s="67"/>
      <c r="UFG368" s="67"/>
      <c r="UFI368" s="357"/>
      <c r="UFJ368" s="67"/>
      <c r="UFK368" s="67"/>
      <c r="UFM368" s="357"/>
      <c r="UFN368" s="67"/>
      <c r="UFO368" s="67"/>
      <c r="UFQ368" s="357"/>
      <c r="UFR368" s="67"/>
      <c r="UFS368" s="67"/>
      <c r="UFU368" s="357"/>
      <c r="UFV368" s="67"/>
      <c r="UFW368" s="67"/>
      <c r="UFY368" s="357"/>
      <c r="UFZ368" s="67"/>
      <c r="UGA368" s="67"/>
      <c r="UGC368" s="357"/>
      <c r="UGD368" s="67"/>
      <c r="UGE368" s="67"/>
      <c r="UGG368" s="357"/>
      <c r="UGH368" s="67"/>
      <c r="UGI368" s="67"/>
      <c r="UGK368" s="357"/>
      <c r="UGL368" s="67"/>
      <c r="UGM368" s="67"/>
      <c r="UGO368" s="357"/>
      <c r="UGP368" s="67"/>
      <c r="UGQ368" s="67"/>
      <c r="UGS368" s="357"/>
      <c r="UGT368" s="67"/>
      <c r="UGU368" s="67"/>
      <c r="UGW368" s="357"/>
      <c r="UGX368" s="67"/>
      <c r="UGY368" s="67"/>
      <c r="UHA368" s="357"/>
      <c r="UHB368" s="67"/>
      <c r="UHC368" s="67"/>
      <c r="UHE368" s="357"/>
      <c r="UHF368" s="67"/>
      <c r="UHG368" s="67"/>
      <c r="UHI368" s="357"/>
      <c r="UHJ368" s="67"/>
      <c r="UHK368" s="67"/>
      <c r="UHM368" s="357"/>
      <c r="UHN368" s="67"/>
      <c r="UHO368" s="67"/>
      <c r="UHQ368" s="357"/>
      <c r="UHR368" s="67"/>
      <c r="UHS368" s="67"/>
      <c r="UHU368" s="357"/>
      <c r="UHV368" s="67"/>
      <c r="UHW368" s="67"/>
      <c r="UHY368" s="357"/>
      <c r="UHZ368" s="67"/>
      <c r="UIA368" s="67"/>
      <c r="UIC368" s="357"/>
      <c r="UID368" s="67"/>
      <c r="UIE368" s="67"/>
      <c r="UIG368" s="357"/>
      <c r="UIH368" s="67"/>
      <c r="UII368" s="67"/>
      <c r="UIK368" s="357"/>
      <c r="UIL368" s="67"/>
      <c r="UIM368" s="67"/>
      <c r="UIO368" s="357"/>
      <c r="UIP368" s="67"/>
      <c r="UIQ368" s="67"/>
      <c r="UIS368" s="357"/>
      <c r="UIT368" s="67"/>
      <c r="UIU368" s="67"/>
      <c r="UIW368" s="357"/>
      <c r="UIX368" s="67"/>
      <c r="UIY368" s="67"/>
      <c r="UJA368" s="357"/>
      <c r="UJB368" s="67"/>
      <c r="UJC368" s="67"/>
      <c r="UJE368" s="357"/>
      <c r="UJF368" s="67"/>
      <c r="UJG368" s="67"/>
      <c r="UJI368" s="357"/>
      <c r="UJJ368" s="67"/>
      <c r="UJK368" s="67"/>
      <c r="UJM368" s="357"/>
      <c r="UJN368" s="67"/>
      <c r="UJO368" s="67"/>
      <c r="UJQ368" s="357"/>
      <c r="UJR368" s="67"/>
      <c r="UJS368" s="67"/>
      <c r="UJU368" s="357"/>
      <c r="UJV368" s="67"/>
      <c r="UJW368" s="67"/>
      <c r="UJY368" s="357"/>
      <c r="UJZ368" s="67"/>
      <c r="UKA368" s="67"/>
      <c r="UKC368" s="357"/>
      <c r="UKD368" s="67"/>
      <c r="UKE368" s="67"/>
      <c r="UKG368" s="357"/>
      <c r="UKH368" s="67"/>
      <c r="UKI368" s="67"/>
      <c r="UKK368" s="357"/>
      <c r="UKL368" s="67"/>
      <c r="UKM368" s="67"/>
      <c r="UKO368" s="357"/>
      <c r="UKP368" s="67"/>
      <c r="UKQ368" s="67"/>
      <c r="UKS368" s="357"/>
      <c r="UKT368" s="67"/>
      <c r="UKU368" s="67"/>
      <c r="UKW368" s="357"/>
      <c r="UKX368" s="67"/>
      <c r="UKY368" s="67"/>
      <c r="ULA368" s="357"/>
      <c r="ULB368" s="67"/>
      <c r="ULC368" s="67"/>
      <c r="ULE368" s="357"/>
      <c r="ULF368" s="67"/>
      <c r="ULG368" s="67"/>
      <c r="ULI368" s="357"/>
      <c r="ULJ368" s="67"/>
      <c r="ULK368" s="67"/>
      <c r="ULM368" s="357"/>
      <c r="ULN368" s="67"/>
      <c r="ULO368" s="67"/>
      <c r="ULQ368" s="357"/>
      <c r="ULR368" s="67"/>
      <c r="ULS368" s="67"/>
      <c r="ULU368" s="357"/>
      <c r="ULV368" s="67"/>
      <c r="ULW368" s="67"/>
      <c r="ULY368" s="357"/>
      <c r="ULZ368" s="67"/>
      <c r="UMA368" s="67"/>
      <c r="UMC368" s="357"/>
      <c r="UMD368" s="67"/>
      <c r="UME368" s="67"/>
      <c r="UMG368" s="357"/>
      <c r="UMH368" s="67"/>
      <c r="UMI368" s="67"/>
      <c r="UMK368" s="357"/>
      <c r="UML368" s="67"/>
      <c r="UMM368" s="67"/>
      <c r="UMO368" s="357"/>
      <c r="UMP368" s="67"/>
      <c r="UMQ368" s="67"/>
      <c r="UMS368" s="357"/>
      <c r="UMT368" s="67"/>
      <c r="UMU368" s="67"/>
      <c r="UMW368" s="357"/>
      <c r="UMX368" s="67"/>
      <c r="UMY368" s="67"/>
      <c r="UNA368" s="357"/>
      <c r="UNB368" s="67"/>
      <c r="UNC368" s="67"/>
      <c r="UNE368" s="357"/>
      <c r="UNF368" s="67"/>
      <c r="UNG368" s="67"/>
      <c r="UNI368" s="357"/>
      <c r="UNJ368" s="67"/>
      <c r="UNK368" s="67"/>
      <c r="UNM368" s="357"/>
      <c r="UNN368" s="67"/>
      <c r="UNO368" s="67"/>
      <c r="UNQ368" s="357"/>
      <c r="UNR368" s="67"/>
      <c r="UNS368" s="67"/>
      <c r="UNU368" s="357"/>
      <c r="UNV368" s="67"/>
      <c r="UNW368" s="67"/>
      <c r="UNY368" s="357"/>
      <c r="UNZ368" s="67"/>
      <c r="UOA368" s="67"/>
      <c r="UOC368" s="357"/>
      <c r="UOD368" s="67"/>
      <c r="UOE368" s="67"/>
      <c r="UOG368" s="357"/>
      <c r="UOH368" s="67"/>
      <c r="UOI368" s="67"/>
      <c r="UOK368" s="357"/>
      <c r="UOL368" s="67"/>
      <c r="UOM368" s="67"/>
      <c r="UOO368" s="357"/>
      <c r="UOP368" s="67"/>
      <c r="UOQ368" s="67"/>
      <c r="UOS368" s="357"/>
      <c r="UOT368" s="67"/>
      <c r="UOU368" s="67"/>
      <c r="UOW368" s="357"/>
      <c r="UOX368" s="67"/>
      <c r="UOY368" s="67"/>
      <c r="UPA368" s="357"/>
      <c r="UPB368" s="67"/>
      <c r="UPC368" s="67"/>
      <c r="UPE368" s="357"/>
      <c r="UPF368" s="67"/>
      <c r="UPG368" s="67"/>
      <c r="UPI368" s="357"/>
      <c r="UPJ368" s="67"/>
      <c r="UPK368" s="67"/>
      <c r="UPM368" s="357"/>
      <c r="UPN368" s="67"/>
      <c r="UPO368" s="67"/>
      <c r="UPQ368" s="357"/>
      <c r="UPR368" s="67"/>
      <c r="UPS368" s="67"/>
      <c r="UPU368" s="357"/>
      <c r="UPV368" s="67"/>
      <c r="UPW368" s="67"/>
      <c r="UPY368" s="357"/>
      <c r="UPZ368" s="67"/>
      <c r="UQA368" s="67"/>
      <c r="UQC368" s="357"/>
      <c r="UQD368" s="67"/>
      <c r="UQE368" s="67"/>
      <c r="UQG368" s="357"/>
      <c r="UQH368" s="67"/>
      <c r="UQI368" s="67"/>
      <c r="UQK368" s="357"/>
      <c r="UQL368" s="67"/>
      <c r="UQM368" s="67"/>
      <c r="UQO368" s="357"/>
      <c r="UQP368" s="67"/>
      <c r="UQQ368" s="67"/>
      <c r="UQS368" s="357"/>
      <c r="UQT368" s="67"/>
      <c r="UQU368" s="67"/>
      <c r="UQW368" s="357"/>
      <c r="UQX368" s="67"/>
      <c r="UQY368" s="67"/>
      <c r="URA368" s="357"/>
      <c r="URB368" s="67"/>
      <c r="URC368" s="67"/>
      <c r="URE368" s="357"/>
      <c r="URF368" s="67"/>
      <c r="URG368" s="67"/>
      <c r="URI368" s="357"/>
      <c r="URJ368" s="67"/>
      <c r="URK368" s="67"/>
      <c r="URM368" s="357"/>
      <c r="URN368" s="67"/>
      <c r="URO368" s="67"/>
      <c r="URQ368" s="357"/>
      <c r="URR368" s="67"/>
      <c r="URS368" s="67"/>
      <c r="URU368" s="357"/>
      <c r="URV368" s="67"/>
      <c r="URW368" s="67"/>
      <c r="URY368" s="357"/>
      <c r="URZ368" s="67"/>
      <c r="USA368" s="67"/>
      <c r="USC368" s="357"/>
      <c r="USD368" s="67"/>
      <c r="USE368" s="67"/>
      <c r="USG368" s="357"/>
      <c r="USH368" s="67"/>
      <c r="USI368" s="67"/>
      <c r="USK368" s="357"/>
      <c r="USL368" s="67"/>
      <c r="USM368" s="67"/>
      <c r="USO368" s="357"/>
      <c r="USP368" s="67"/>
      <c r="USQ368" s="67"/>
      <c r="USS368" s="357"/>
      <c r="UST368" s="67"/>
      <c r="USU368" s="67"/>
      <c r="USW368" s="357"/>
      <c r="USX368" s="67"/>
      <c r="USY368" s="67"/>
      <c r="UTA368" s="357"/>
      <c r="UTB368" s="67"/>
      <c r="UTC368" s="67"/>
      <c r="UTE368" s="357"/>
      <c r="UTF368" s="67"/>
      <c r="UTG368" s="67"/>
      <c r="UTI368" s="357"/>
      <c r="UTJ368" s="67"/>
      <c r="UTK368" s="67"/>
      <c r="UTM368" s="357"/>
      <c r="UTN368" s="67"/>
      <c r="UTO368" s="67"/>
      <c r="UTQ368" s="357"/>
      <c r="UTR368" s="67"/>
      <c r="UTS368" s="67"/>
      <c r="UTU368" s="357"/>
      <c r="UTV368" s="67"/>
      <c r="UTW368" s="67"/>
      <c r="UTY368" s="357"/>
      <c r="UTZ368" s="67"/>
      <c r="UUA368" s="67"/>
      <c r="UUC368" s="357"/>
      <c r="UUD368" s="67"/>
      <c r="UUE368" s="67"/>
      <c r="UUG368" s="357"/>
      <c r="UUH368" s="67"/>
      <c r="UUI368" s="67"/>
      <c r="UUK368" s="357"/>
      <c r="UUL368" s="67"/>
      <c r="UUM368" s="67"/>
      <c r="UUO368" s="357"/>
      <c r="UUP368" s="67"/>
      <c r="UUQ368" s="67"/>
      <c r="UUS368" s="357"/>
      <c r="UUT368" s="67"/>
      <c r="UUU368" s="67"/>
      <c r="UUW368" s="357"/>
      <c r="UUX368" s="67"/>
      <c r="UUY368" s="67"/>
      <c r="UVA368" s="357"/>
      <c r="UVB368" s="67"/>
      <c r="UVC368" s="67"/>
      <c r="UVE368" s="357"/>
      <c r="UVF368" s="67"/>
      <c r="UVG368" s="67"/>
      <c r="UVI368" s="357"/>
      <c r="UVJ368" s="67"/>
      <c r="UVK368" s="67"/>
      <c r="UVM368" s="357"/>
      <c r="UVN368" s="67"/>
      <c r="UVO368" s="67"/>
      <c r="UVQ368" s="357"/>
      <c r="UVR368" s="67"/>
      <c r="UVS368" s="67"/>
      <c r="UVU368" s="357"/>
      <c r="UVV368" s="67"/>
      <c r="UVW368" s="67"/>
      <c r="UVY368" s="357"/>
      <c r="UVZ368" s="67"/>
      <c r="UWA368" s="67"/>
      <c r="UWC368" s="357"/>
      <c r="UWD368" s="67"/>
      <c r="UWE368" s="67"/>
      <c r="UWG368" s="357"/>
      <c r="UWH368" s="67"/>
      <c r="UWI368" s="67"/>
      <c r="UWK368" s="357"/>
      <c r="UWL368" s="67"/>
      <c r="UWM368" s="67"/>
      <c r="UWO368" s="357"/>
      <c r="UWP368" s="67"/>
      <c r="UWQ368" s="67"/>
      <c r="UWS368" s="357"/>
      <c r="UWT368" s="67"/>
      <c r="UWU368" s="67"/>
      <c r="UWW368" s="357"/>
      <c r="UWX368" s="67"/>
      <c r="UWY368" s="67"/>
      <c r="UXA368" s="357"/>
      <c r="UXB368" s="67"/>
      <c r="UXC368" s="67"/>
      <c r="UXE368" s="357"/>
      <c r="UXF368" s="67"/>
      <c r="UXG368" s="67"/>
      <c r="UXI368" s="357"/>
      <c r="UXJ368" s="67"/>
      <c r="UXK368" s="67"/>
      <c r="UXM368" s="357"/>
      <c r="UXN368" s="67"/>
      <c r="UXO368" s="67"/>
      <c r="UXQ368" s="357"/>
      <c r="UXR368" s="67"/>
      <c r="UXS368" s="67"/>
      <c r="UXU368" s="357"/>
      <c r="UXV368" s="67"/>
      <c r="UXW368" s="67"/>
      <c r="UXY368" s="357"/>
      <c r="UXZ368" s="67"/>
      <c r="UYA368" s="67"/>
      <c r="UYC368" s="357"/>
      <c r="UYD368" s="67"/>
      <c r="UYE368" s="67"/>
      <c r="UYG368" s="357"/>
      <c r="UYH368" s="67"/>
      <c r="UYI368" s="67"/>
      <c r="UYK368" s="357"/>
      <c r="UYL368" s="67"/>
      <c r="UYM368" s="67"/>
      <c r="UYO368" s="357"/>
      <c r="UYP368" s="67"/>
      <c r="UYQ368" s="67"/>
      <c r="UYS368" s="357"/>
      <c r="UYT368" s="67"/>
      <c r="UYU368" s="67"/>
      <c r="UYW368" s="357"/>
      <c r="UYX368" s="67"/>
      <c r="UYY368" s="67"/>
      <c r="UZA368" s="357"/>
      <c r="UZB368" s="67"/>
      <c r="UZC368" s="67"/>
      <c r="UZE368" s="357"/>
      <c r="UZF368" s="67"/>
      <c r="UZG368" s="67"/>
      <c r="UZI368" s="357"/>
      <c r="UZJ368" s="67"/>
      <c r="UZK368" s="67"/>
      <c r="UZM368" s="357"/>
      <c r="UZN368" s="67"/>
      <c r="UZO368" s="67"/>
      <c r="UZQ368" s="357"/>
      <c r="UZR368" s="67"/>
      <c r="UZS368" s="67"/>
      <c r="UZU368" s="357"/>
      <c r="UZV368" s="67"/>
      <c r="UZW368" s="67"/>
      <c r="UZY368" s="357"/>
      <c r="UZZ368" s="67"/>
      <c r="VAA368" s="67"/>
      <c r="VAC368" s="357"/>
      <c r="VAD368" s="67"/>
      <c r="VAE368" s="67"/>
      <c r="VAG368" s="357"/>
      <c r="VAH368" s="67"/>
      <c r="VAI368" s="67"/>
      <c r="VAK368" s="357"/>
      <c r="VAL368" s="67"/>
      <c r="VAM368" s="67"/>
      <c r="VAO368" s="357"/>
      <c r="VAP368" s="67"/>
      <c r="VAQ368" s="67"/>
      <c r="VAS368" s="357"/>
      <c r="VAT368" s="67"/>
      <c r="VAU368" s="67"/>
      <c r="VAW368" s="357"/>
      <c r="VAX368" s="67"/>
      <c r="VAY368" s="67"/>
      <c r="VBA368" s="357"/>
      <c r="VBB368" s="67"/>
      <c r="VBC368" s="67"/>
      <c r="VBE368" s="357"/>
      <c r="VBF368" s="67"/>
      <c r="VBG368" s="67"/>
      <c r="VBI368" s="357"/>
      <c r="VBJ368" s="67"/>
      <c r="VBK368" s="67"/>
      <c r="VBM368" s="357"/>
      <c r="VBN368" s="67"/>
      <c r="VBO368" s="67"/>
      <c r="VBQ368" s="357"/>
      <c r="VBR368" s="67"/>
      <c r="VBS368" s="67"/>
      <c r="VBU368" s="357"/>
      <c r="VBV368" s="67"/>
      <c r="VBW368" s="67"/>
      <c r="VBY368" s="357"/>
      <c r="VBZ368" s="67"/>
      <c r="VCA368" s="67"/>
      <c r="VCC368" s="357"/>
      <c r="VCD368" s="67"/>
      <c r="VCE368" s="67"/>
      <c r="VCG368" s="357"/>
      <c r="VCH368" s="67"/>
      <c r="VCI368" s="67"/>
      <c r="VCK368" s="357"/>
      <c r="VCL368" s="67"/>
      <c r="VCM368" s="67"/>
      <c r="VCO368" s="357"/>
      <c r="VCP368" s="67"/>
      <c r="VCQ368" s="67"/>
      <c r="VCS368" s="357"/>
      <c r="VCT368" s="67"/>
      <c r="VCU368" s="67"/>
      <c r="VCW368" s="357"/>
      <c r="VCX368" s="67"/>
      <c r="VCY368" s="67"/>
      <c r="VDA368" s="357"/>
      <c r="VDB368" s="67"/>
      <c r="VDC368" s="67"/>
      <c r="VDE368" s="357"/>
      <c r="VDF368" s="67"/>
      <c r="VDG368" s="67"/>
      <c r="VDI368" s="357"/>
      <c r="VDJ368" s="67"/>
      <c r="VDK368" s="67"/>
      <c r="VDM368" s="357"/>
      <c r="VDN368" s="67"/>
      <c r="VDO368" s="67"/>
      <c r="VDQ368" s="357"/>
      <c r="VDR368" s="67"/>
      <c r="VDS368" s="67"/>
      <c r="VDU368" s="357"/>
      <c r="VDV368" s="67"/>
      <c r="VDW368" s="67"/>
      <c r="VDY368" s="357"/>
      <c r="VDZ368" s="67"/>
      <c r="VEA368" s="67"/>
      <c r="VEC368" s="357"/>
      <c r="VED368" s="67"/>
      <c r="VEE368" s="67"/>
      <c r="VEG368" s="357"/>
      <c r="VEH368" s="67"/>
      <c r="VEI368" s="67"/>
      <c r="VEK368" s="357"/>
      <c r="VEL368" s="67"/>
      <c r="VEM368" s="67"/>
      <c r="VEO368" s="357"/>
      <c r="VEP368" s="67"/>
      <c r="VEQ368" s="67"/>
      <c r="VES368" s="357"/>
      <c r="VET368" s="67"/>
      <c r="VEU368" s="67"/>
      <c r="VEW368" s="357"/>
      <c r="VEX368" s="67"/>
      <c r="VEY368" s="67"/>
      <c r="VFA368" s="357"/>
      <c r="VFB368" s="67"/>
      <c r="VFC368" s="67"/>
      <c r="VFE368" s="357"/>
      <c r="VFF368" s="67"/>
      <c r="VFG368" s="67"/>
      <c r="VFI368" s="357"/>
      <c r="VFJ368" s="67"/>
      <c r="VFK368" s="67"/>
      <c r="VFM368" s="357"/>
      <c r="VFN368" s="67"/>
      <c r="VFO368" s="67"/>
      <c r="VFQ368" s="357"/>
      <c r="VFR368" s="67"/>
      <c r="VFS368" s="67"/>
      <c r="VFU368" s="357"/>
      <c r="VFV368" s="67"/>
      <c r="VFW368" s="67"/>
      <c r="VFY368" s="357"/>
      <c r="VFZ368" s="67"/>
      <c r="VGA368" s="67"/>
      <c r="VGC368" s="357"/>
      <c r="VGD368" s="67"/>
      <c r="VGE368" s="67"/>
      <c r="VGG368" s="357"/>
      <c r="VGH368" s="67"/>
      <c r="VGI368" s="67"/>
      <c r="VGK368" s="357"/>
      <c r="VGL368" s="67"/>
      <c r="VGM368" s="67"/>
      <c r="VGO368" s="357"/>
      <c r="VGP368" s="67"/>
      <c r="VGQ368" s="67"/>
      <c r="VGS368" s="357"/>
      <c r="VGT368" s="67"/>
      <c r="VGU368" s="67"/>
      <c r="VGW368" s="357"/>
      <c r="VGX368" s="67"/>
      <c r="VGY368" s="67"/>
      <c r="VHA368" s="357"/>
      <c r="VHB368" s="67"/>
      <c r="VHC368" s="67"/>
      <c r="VHE368" s="357"/>
      <c r="VHF368" s="67"/>
      <c r="VHG368" s="67"/>
      <c r="VHI368" s="357"/>
      <c r="VHJ368" s="67"/>
      <c r="VHK368" s="67"/>
      <c r="VHM368" s="357"/>
      <c r="VHN368" s="67"/>
      <c r="VHO368" s="67"/>
      <c r="VHQ368" s="357"/>
      <c r="VHR368" s="67"/>
      <c r="VHS368" s="67"/>
      <c r="VHU368" s="357"/>
      <c r="VHV368" s="67"/>
      <c r="VHW368" s="67"/>
      <c r="VHY368" s="357"/>
      <c r="VHZ368" s="67"/>
      <c r="VIA368" s="67"/>
      <c r="VIC368" s="357"/>
      <c r="VID368" s="67"/>
      <c r="VIE368" s="67"/>
      <c r="VIG368" s="357"/>
      <c r="VIH368" s="67"/>
      <c r="VII368" s="67"/>
      <c r="VIK368" s="357"/>
      <c r="VIL368" s="67"/>
      <c r="VIM368" s="67"/>
      <c r="VIO368" s="357"/>
      <c r="VIP368" s="67"/>
      <c r="VIQ368" s="67"/>
      <c r="VIS368" s="357"/>
      <c r="VIT368" s="67"/>
      <c r="VIU368" s="67"/>
      <c r="VIW368" s="357"/>
      <c r="VIX368" s="67"/>
      <c r="VIY368" s="67"/>
      <c r="VJA368" s="357"/>
      <c r="VJB368" s="67"/>
      <c r="VJC368" s="67"/>
      <c r="VJE368" s="357"/>
      <c r="VJF368" s="67"/>
      <c r="VJG368" s="67"/>
      <c r="VJI368" s="357"/>
      <c r="VJJ368" s="67"/>
      <c r="VJK368" s="67"/>
      <c r="VJM368" s="357"/>
      <c r="VJN368" s="67"/>
      <c r="VJO368" s="67"/>
      <c r="VJQ368" s="357"/>
      <c r="VJR368" s="67"/>
      <c r="VJS368" s="67"/>
      <c r="VJU368" s="357"/>
      <c r="VJV368" s="67"/>
      <c r="VJW368" s="67"/>
      <c r="VJY368" s="357"/>
      <c r="VJZ368" s="67"/>
      <c r="VKA368" s="67"/>
      <c r="VKC368" s="357"/>
      <c r="VKD368" s="67"/>
      <c r="VKE368" s="67"/>
      <c r="VKG368" s="357"/>
      <c r="VKH368" s="67"/>
      <c r="VKI368" s="67"/>
      <c r="VKK368" s="357"/>
      <c r="VKL368" s="67"/>
      <c r="VKM368" s="67"/>
      <c r="VKO368" s="357"/>
      <c r="VKP368" s="67"/>
      <c r="VKQ368" s="67"/>
      <c r="VKS368" s="357"/>
      <c r="VKT368" s="67"/>
      <c r="VKU368" s="67"/>
      <c r="VKW368" s="357"/>
      <c r="VKX368" s="67"/>
      <c r="VKY368" s="67"/>
      <c r="VLA368" s="357"/>
      <c r="VLB368" s="67"/>
      <c r="VLC368" s="67"/>
      <c r="VLE368" s="357"/>
      <c r="VLF368" s="67"/>
      <c r="VLG368" s="67"/>
      <c r="VLI368" s="357"/>
      <c r="VLJ368" s="67"/>
      <c r="VLK368" s="67"/>
      <c r="VLM368" s="357"/>
      <c r="VLN368" s="67"/>
      <c r="VLO368" s="67"/>
      <c r="VLQ368" s="357"/>
      <c r="VLR368" s="67"/>
      <c r="VLS368" s="67"/>
      <c r="VLU368" s="357"/>
      <c r="VLV368" s="67"/>
      <c r="VLW368" s="67"/>
      <c r="VLY368" s="357"/>
      <c r="VLZ368" s="67"/>
      <c r="VMA368" s="67"/>
      <c r="VMC368" s="357"/>
      <c r="VMD368" s="67"/>
      <c r="VME368" s="67"/>
      <c r="VMG368" s="357"/>
      <c r="VMH368" s="67"/>
      <c r="VMI368" s="67"/>
      <c r="VMK368" s="357"/>
      <c r="VML368" s="67"/>
      <c r="VMM368" s="67"/>
      <c r="VMO368" s="357"/>
      <c r="VMP368" s="67"/>
      <c r="VMQ368" s="67"/>
      <c r="VMS368" s="357"/>
      <c r="VMT368" s="67"/>
      <c r="VMU368" s="67"/>
      <c r="VMW368" s="357"/>
      <c r="VMX368" s="67"/>
      <c r="VMY368" s="67"/>
      <c r="VNA368" s="357"/>
      <c r="VNB368" s="67"/>
      <c r="VNC368" s="67"/>
      <c r="VNE368" s="357"/>
      <c r="VNF368" s="67"/>
      <c r="VNG368" s="67"/>
      <c r="VNI368" s="357"/>
      <c r="VNJ368" s="67"/>
      <c r="VNK368" s="67"/>
      <c r="VNM368" s="357"/>
      <c r="VNN368" s="67"/>
      <c r="VNO368" s="67"/>
      <c r="VNQ368" s="357"/>
      <c r="VNR368" s="67"/>
      <c r="VNS368" s="67"/>
      <c r="VNU368" s="357"/>
      <c r="VNV368" s="67"/>
      <c r="VNW368" s="67"/>
      <c r="VNY368" s="357"/>
      <c r="VNZ368" s="67"/>
      <c r="VOA368" s="67"/>
      <c r="VOC368" s="357"/>
      <c r="VOD368" s="67"/>
      <c r="VOE368" s="67"/>
      <c r="VOG368" s="357"/>
      <c r="VOH368" s="67"/>
      <c r="VOI368" s="67"/>
      <c r="VOK368" s="357"/>
      <c r="VOL368" s="67"/>
      <c r="VOM368" s="67"/>
      <c r="VOO368" s="357"/>
      <c r="VOP368" s="67"/>
      <c r="VOQ368" s="67"/>
      <c r="VOS368" s="357"/>
      <c r="VOT368" s="67"/>
      <c r="VOU368" s="67"/>
      <c r="VOW368" s="357"/>
      <c r="VOX368" s="67"/>
      <c r="VOY368" s="67"/>
      <c r="VPA368" s="357"/>
      <c r="VPB368" s="67"/>
      <c r="VPC368" s="67"/>
      <c r="VPE368" s="357"/>
      <c r="VPF368" s="67"/>
      <c r="VPG368" s="67"/>
      <c r="VPI368" s="357"/>
      <c r="VPJ368" s="67"/>
      <c r="VPK368" s="67"/>
      <c r="VPM368" s="357"/>
      <c r="VPN368" s="67"/>
      <c r="VPO368" s="67"/>
      <c r="VPQ368" s="357"/>
      <c r="VPR368" s="67"/>
      <c r="VPS368" s="67"/>
      <c r="VPU368" s="357"/>
      <c r="VPV368" s="67"/>
      <c r="VPW368" s="67"/>
      <c r="VPY368" s="357"/>
      <c r="VPZ368" s="67"/>
      <c r="VQA368" s="67"/>
      <c r="VQC368" s="357"/>
      <c r="VQD368" s="67"/>
      <c r="VQE368" s="67"/>
      <c r="VQG368" s="357"/>
      <c r="VQH368" s="67"/>
      <c r="VQI368" s="67"/>
      <c r="VQK368" s="357"/>
      <c r="VQL368" s="67"/>
      <c r="VQM368" s="67"/>
      <c r="VQO368" s="357"/>
      <c r="VQP368" s="67"/>
      <c r="VQQ368" s="67"/>
      <c r="VQS368" s="357"/>
      <c r="VQT368" s="67"/>
      <c r="VQU368" s="67"/>
      <c r="VQW368" s="357"/>
      <c r="VQX368" s="67"/>
      <c r="VQY368" s="67"/>
      <c r="VRA368" s="357"/>
      <c r="VRB368" s="67"/>
      <c r="VRC368" s="67"/>
      <c r="VRE368" s="357"/>
      <c r="VRF368" s="67"/>
      <c r="VRG368" s="67"/>
      <c r="VRI368" s="357"/>
      <c r="VRJ368" s="67"/>
      <c r="VRK368" s="67"/>
      <c r="VRM368" s="357"/>
      <c r="VRN368" s="67"/>
      <c r="VRO368" s="67"/>
      <c r="VRQ368" s="357"/>
      <c r="VRR368" s="67"/>
      <c r="VRS368" s="67"/>
      <c r="VRU368" s="357"/>
      <c r="VRV368" s="67"/>
      <c r="VRW368" s="67"/>
      <c r="VRY368" s="357"/>
      <c r="VRZ368" s="67"/>
      <c r="VSA368" s="67"/>
      <c r="VSC368" s="357"/>
      <c r="VSD368" s="67"/>
      <c r="VSE368" s="67"/>
      <c r="VSG368" s="357"/>
      <c r="VSH368" s="67"/>
      <c r="VSI368" s="67"/>
      <c r="VSK368" s="357"/>
      <c r="VSL368" s="67"/>
      <c r="VSM368" s="67"/>
      <c r="VSO368" s="357"/>
      <c r="VSP368" s="67"/>
      <c r="VSQ368" s="67"/>
      <c r="VSS368" s="357"/>
      <c r="VST368" s="67"/>
      <c r="VSU368" s="67"/>
      <c r="VSW368" s="357"/>
      <c r="VSX368" s="67"/>
      <c r="VSY368" s="67"/>
      <c r="VTA368" s="357"/>
      <c r="VTB368" s="67"/>
      <c r="VTC368" s="67"/>
      <c r="VTE368" s="357"/>
      <c r="VTF368" s="67"/>
      <c r="VTG368" s="67"/>
      <c r="VTI368" s="357"/>
      <c r="VTJ368" s="67"/>
      <c r="VTK368" s="67"/>
      <c r="VTM368" s="357"/>
      <c r="VTN368" s="67"/>
      <c r="VTO368" s="67"/>
      <c r="VTQ368" s="357"/>
      <c r="VTR368" s="67"/>
      <c r="VTS368" s="67"/>
      <c r="VTU368" s="357"/>
      <c r="VTV368" s="67"/>
      <c r="VTW368" s="67"/>
      <c r="VTY368" s="357"/>
      <c r="VTZ368" s="67"/>
      <c r="VUA368" s="67"/>
      <c r="VUC368" s="357"/>
      <c r="VUD368" s="67"/>
      <c r="VUE368" s="67"/>
      <c r="VUG368" s="357"/>
      <c r="VUH368" s="67"/>
      <c r="VUI368" s="67"/>
      <c r="VUK368" s="357"/>
      <c r="VUL368" s="67"/>
      <c r="VUM368" s="67"/>
      <c r="VUO368" s="357"/>
      <c r="VUP368" s="67"/>
      <c r="VUQ368" s="67"/>
      <c r="VUS368" s="357"/>
      <c r="VUT368" s="67"/>
      <c r="VUU368" s="67"/>
      <c r="VUW368" s="357"/>
      <c r="VUX368" s="67"/>
      <c r="VUY368" s="67"/>
      <c r="VVA368" s="357"/>
      <c r="VVB368" s="67"/>
      <c r="VVC368" s="67"/>
      <c r="VVE368" s="357"/>
      <c r="VVF368" s="67"/>
      <c r="VVG368" s="67"/>
      <c r="VVI368" s="357"/>
      <c r="VVJ368" s="67"/>
      <c r="VVK368" s="67"/>
      <c r="VVM368" s="357"/>
      <c r="VVN368" s="67"/>
      <c r="VVO368" s="67"/>
      <c r="VVQ368" s="357"/>
      <c r="VVR368" s="67"/>
      <c r="VVS368" s="67"/>
      <c r="VVU368" s="357"/>
      <c r="VVV368" s="67"/>
      <c r="VVW368" s="67"/>
      <c r="VVY368" s="357"/>
      <c r="VVZ368" s="67"/>
      <c r="VWA368" s="67"/>
      <c r="VWC368" s="357"/>
      <c r="VWD368" s="67"/>
      <c r="VWE368" s="67"/>
      <c r="VWG368" s="357"/>
      <c r="VWH368" s="67"/>
      <c r="VWI368" s="67"/>
      <c r="VWK368" s="357"/>
      <c r="VWL368" s="67"/>
      <c r="VWM368" s="67"/>
      <c r="VWO368" s="357"/>
      <c r="VWP368" s="67"/>
      <c r="VWQ368" s="67"/>
      <c r="VWS368" s="357"/>
      <c r="VWT368" s="67"/>
      <c r="VWU368" s="67"/>
      <c r="VWW368" s="357"/>
      <c r="VWX368" s="67"/>
      <c r="VWY368" s="67"/>
      <c r="VXA368" s="357"/>
      <c r="VXB368" s="67"/>
      <c r="VXC368" s="67"/>
      <c r="VXE368" s="357"/>
      <c r="VXF368" s="67"/>
      <c r="VXG368" s="67"/>
      <c r="VXI368" s="357"/>
      <c r="VXJ368" s="67"/>
      <c r="VXK368" s="67"/>
      <c r="VXM368" s="357"/>
      <c r="VXN368" s="67"/>
      <c r="VXO368" s="67"/>
      <c r="VXQ368" s="357"/>
      <c r="VXR368" s="67"/>
      <c r="VXS368" s="67"/>
      <c r="VXU368" s="357"/>
      <c r="VXV368" s="67"/>
      <c r="VXW368" s="67"/>
      <c r="VXY368" s="357"/>
      <c r="VXZ368" s="67"/>
      <c r="VYA368" s="67"/>
      <c r="VYC368" s="357"/>
      <c r="VYD368" s="67"/>
      <c r="VYE368" s="67"/>
      <c r="VYG368" s="357"/>
      <c r="VYH368" s="67"/>
      <c r="VYI368" s="67"/>
      <c r="VYK368" s="357"/>
      <c r="VYL368" s="67"/>
      <c r="VYM368" s="67"/>
      <c r="VYO368" s="357"/>
      <c r="VYP368" s="67"/>
      <c r="VYQ368" s="67"/>
      <c r="VYS368" s="357"/>
      <c r="VYT368" s="67"/>
      <c r="VYU368" s="67"/>
      <c r="VYW368" s="357"/>
      <c r="VYX368" s="67"/>
      <c r="VYY368" s="67"/>
      <c r="VZA368" s="357"/>
      <c r="VZB368" s="67"/>
      <c r="VZC368" s="67"/>
      <c r="VZE368" s="357"/>
      <c r="VZF368" s="67"/>
      <c r="VZG368" s="67"/>
      <c r="VZI368" s="357"/>
      <c r="VZJ368" s="67"/>
      <c r="VZK368" s="67"/>
      <c r="VZM368" s="357"/>
      <c r="VZN368" s="67"/>
      <c r="VZO368" s="67"/>
      <c r="VZQ368" s="357"/>
      <c r="VZR368" s="67"/>
      <c r="VZS368" s="67"/>
      <c r="VZU368" s="357"/>
      <c r="VZV368" s="67"/>
      <c r="VZW368" s="67"/>
      <c r="VZY368" s="357"/>
      <c r="VZZ368" s="67"/>
      <c r="WAA368" s="67"/>
      <c r="WAC368" s="357"/>
      <c r="WAD368" s="67"/>
      <c r="WAE368" s="67"/>
      <c r="WAG368" s="357"/>
      <c r="WAH368" s="67"/>
      <c r="WAI368" s="67"/>
      <c r="WAK368" s="357"/>
      <c r="WAL368" s="67"/>
      <c r="WAM368" s="67"/>
      <c r="WAO368" s="357"/>
      <c r="WAP368" s="67"/>
      <c r="WAQ368" s="67"/>
      <c r="WAS368" s="357"/>
      <c r="WAT368" s="67"/>
      <c r="WAU368" s="67"/>
      <c r="WAW368" s="357"/>
      <c r="WAX368" s="67"/>
      <c r="WAY368" s="67"/>
      <c r="WBA368" s="357"/>
      <c r="WBB368" s="67"/>
      <c r="WBC368" s="67"/>
      <c r="WBE368" s="357"/>
      <c r="WBF368" s="67"/>
      <c r="WBG368" s="67"/>
      <c r="WBI368" s="357"/>
      <c r="WBJ368" s="67"/>
      <c r="WBK368" s="67"/>
      <c r="WBM368" s="357"/>
      <c r="WBN368" s="67"/>
      <c r="WBO368" s="67"/>
      <c r="WBQ368" s="357"/>
      <c r="WBR368" s="67"/>
      <c r="WBS368" s="67"/>
      <c r="WBU368" s="357"/>
      <c r="WBV368" s="67"/>
      <c r="WBW368" s="67"/>
      <c r="WBY368" s="357"/>
      <c r="WBZ368" s="67"/>
      <c r="WCA368" s="67"/>
      <c r="WCC368" s="357"/>
      <c r="WCD368" s="67"/>
      <c r="WCE368" s="67"/>
      <c r="WCG368" s="357"/>
      <c r="WCH368" s="67"/>
      <c r="WCI368" s="67"/>
      <c r="WCK368" s="357"/>
      <c r="WCL368" s="67"/>
      <c r="WCM368" s="67"/>
      <c r="WCO368" s="357"/>
      <c r="WCP368" s="67"/>
      <c r="WCQ368" s="67"/>
      <c r="WCS368" s="357"/>
      <c r="WCT368" s="67"/>
      <c r="WCU368" s="67"/>
      <c r="WCW368" s="357"/>
      <c r="WCX368" s="67"/>
      <c r="WCY368" s="67"/>
      <c r="WDA368" s="357"/>
      <c r="WDB368" s="67"/>
      <c r="WDC368" s="67"/>
      <c r="WDE368" s="357"/>
      <c r="WDF368" s="67"/>
      <c r="WDG368" s="67"/>
      <c r="WDI368" s="357"/>
      <c r="WDJ368" s="67"/>
      <c r="WDK368" s="67"/>
      <c r="WDM368" s="357"/>
      <c r="WDN368" s="67"/>
      <c r="WDO368" s="67"/>
      <c r="WDQ368" s="357"/>
      <c r="WDR368" s="67"/>
      <c r="WDS368" s="67"/>
      <c r="WDU368" s="357"/>
      <c r="WDV368" s="67"/>
      <c r="WDW368" s="67"/>
      <c r="WDY368" s="357"/>
      <c r="WDZ368" s="67"/>
      <c r="WEA368" s="67"/>
      <c r="WEC368" s="357"/>
      <c r="WED368" s="67"/>
      <c r="WEE368" s="67"/>
      <c r="WEG368" s="357"/>
      <c r="WEH368" s="67"/>
      <c r="WEI368" s="67"/>
      <c r="WEK368" s="357"/>
      <c r="WEL368" s="67"/>
      <c r="WEM368" s="67"/>
      <c r="WEO368" s="357"/>
      <c r="WEP368" s="67"/>
      <c r="WEQ368" s="67"/>
      <c r="WES368" s="357"/>
      <c r="WET368" s="67"/>
      <c r="WEU368" s="67"/>
      <c r="WEW368" s="357"/>
      <c r="WEX368" s="67"/>
      <c r="WEY368" s="67"/>
      <c r="WFA368" s="357"/>
      <c r="WFB368" s="67"/>
      <c r="WFC368" s="67"/>
      <c r="WFE368" s="357"/>
      <c r="WFF368" s="67"/>
      <c r="WFG368" s="67"/>
      <c r="WFI368" s="357"/>
      <c r="WFJ368" s="67"/>
      <c r="WFK368" s="67"/>
      <c r="WFM368" s="357"/>
      <c r="WFN368" s="67"/>
      <c r="WFO368" s="67"/>
      <c r="WFQ368" s="357"/>
      <c r="WFR368" s="67"/>
      <c r="WFS368" s="67"/>
      <c r="WFU368" s="357"/>
      <c r="WFV368" s="67"/>
      <c r="WFW368" s="67"/>
      <c r="WFY368" s="357"/>
      <c r="WFZ368" s="67"/>
      <c r="WGA368" s="67"/>
      <c r="WGC368" s="357"/>
      <c r="WGD368" s="67"/>
      <c r="WGE368" s="67"/>
      <c r="WGG368" s="357"/>
      <c r="WGH368" s="67"/>
      <c r="WGI368" s="67"/>
      <c r="WGK368" s="357"/>
      <c r="WGL368" s="67"/>
      <c r="WGM368" s="67"/>
      <c r="WGO368" s="357"/>
      <c r="WGP368" s="67"/>
      <c r="WGQ368" s="67"/>
      <c r="WGS368" s="357"/>
      <c r="WGT368" s="67"/>
      <c r="WGU368" s="67"/>
      <c r="WGW368" s="357"/>
      <c r="WGX368" s="67"/>
      <c r="WGY368" s="67"/>
      <c r="WHA368" s="357"/>
      <c r="WHB368" s="67"/>
      <c r="WHC368" s="67"/>
      <c r="WHE368" s="357"/>
      <c r="WHF368" s="67"/>
      <c r="WHG368" s="67"/>
      <c r="WHI368" s="357"/>
      <c r="WHJ368" s="67"/>
      <c r="WHK368" s="67"/>
      <c r="WHM368" s="357"/>
      <c r="WHN368" s="67"/>
      <c r="WHO368" s="67"/>
      <c r="WHQ368" s="357"/>
      <c r="WHR368" s="67"/>
      <c r="WHS368" s="67"/>
      <c r="WHU368" s="357"/>
      <c r="WHV368" s="67"/>
      <c r="WHW368" s="67"/>
      <c r="WHY368" s="357"/>
      <c r="WHZ368" s="67"/>
      <c r="WIA368" s="67"/>
      <c r="WIC368" s="357"/>
      <c r="WID368" s="67"/>
      <c r="WIE368" s="67"/>
      <c r="WIG368" s="357"/>
      <c r="WIH368" s="67"/>
      <c r="WII368" s="67"/>
      <c r="WIK368" s="357"/>
      <c r="WIL368" s="67"/>
      <c r="WIM368" s="67"/>
      <c r="WIO368" s="357"/>
      <c r="WIP368" s="67"/>
      <c r="WIQ368" s="67"/>
      <c r="WIS368" s="357"/>
      <c r="WIT368" s="67"/>
      <c r="WIU368" s="67"/>
      <c r="WIW368" s="357"/>
      <c r="WIX368" s="67"/>
      <c r="WIY368" s="67"/>
      <c r="WJA368" s="357"/>
      <c r="WJB368" s="67"/>
      <c r="WJC368" s="67"/>
      <c r="WJE368" s="357"/>
      <c r="WJF368" s="67"/>
      <c r="WJG368" s="67"/>
      <c r="WJI368" s="357"/>
      <c r="WJJ368" s="67"/>
      <c r="WJK368" s="67"/>
      <c r="WJM368" s="357"/>
      <c r="WJN368" s="67"/>
      <c r="WJO368" s="67"/>
      <c r="WJQ368" s="357"/>
      <c r="WJR368" s="67"/>
      <c r="WJS368" s="67"/>
      <c r="WJU368" s="357"/>
      <c r="WJV368" s="67"/>
      <c r="WJW368" s="67"/>
      <c r="WJY368" s="357"/>
      <c r="WJZ368" s="67"/>
      <c r="WKA368" s="67"/>
      <c r="WKC368" s="357"/>
      <c r="WKD368" s="67"/>
      <c r="WKE368" s="67"/>
      <c r="WKG368" s="357"/>
      <c r="WKH368" s="67"/>
      <c r="WKI368" s="67"/>
      <c r="WKK368" s="357"/>
      <c r="WKL368" s="67"/>
      <c r="WKM368" s="67"/>
      <c r="WKO368" s="357"/>
      <c r="WKP368" s="67"/>
      <c r="WKQ368" s="67"/>
      <c r="WKS368" s="357"/>
      <c r="WKT368" s="67"/>
      <c r="WKU368" s="67"/>
      <c r="WKW368" s="357"/>
      <c r="WKX368" s="67"/>
      <c r="WKY368" s="67"/>
      <c r="WLA368" s="357"/>
      <c r="WLB368" s="67"/>
      <c r="WLC368" s="67"/>
      <c r="WLE368" s="357"/>
      <c r="WLF368" s="67"/>
      <c r="WLG368" s="67"/>
      <c r="WLI368" s="357"/>
      <c r="WLJ368" s="67"/>
      <c r="WLK368" s="67"/>
      <c r="WLM368" s="357"/>
      <c r="WLN368" s="67"/>
      <c r="WLO368" s="67"/>
      <c r="WLQ368" s="357"/>
      <c r="WLR368" s="67"/>
      <c r="WLS368" s="67"/>
      <c r="WLU368" s="357"/>
      <c r="WLV368" s="67"/>
      <c r="WLW368" s="67"/>
      <c r="WLY368" s="357"/>
      <c r="WLZ368" s="67"/>
      <c r="WMA368" s="67"/>
      <c r="WMC368" s="357"/>
      <c r="WMD368" s="67"/>
      <c r="WME368" s="67"/>
      <c r="WMG368" s="357"/>
      <c r="WMH368" s="67"/>
      <c r="WMI368" s="67"/>
      <c r="WMK368" s="357"/>
      <c r="WML368" s="67"/>
      <c r="WMM368" s="67"/>
      <c r="WMO368" s="357"/>
      <c r="WMP368" s="67"/>
      <c r="WMQ368" s="67"/>
      <c r="WMS368" s="357"/>
      <c r="WMT368" s="67"/>
      <c r="WMU368" s="67"/>
      <c r="WMW368" s="357"/>
      <c r="WMX368" s="67"/>
      <c r="WMY368" s="67"/>
      <c r="WNA368" s="357"/>
      <c r="WNB368" s="67"/>
      <c r="WNC368" s="67"/>
      <c r="WNE368" s="357"/>
      <c r="WNF368" s="67"/>
      <c r="WNG368" s="67"/>
      <c r="WNI368" s="357"/>
      <c r="WNJ368" s="67"/>
      <c r="WNK368" s="67"/>
      <c r="WNM368" s="357"/>
      <c r="WNN368" s="67"/>
      <c r="WNO368" s="67"/>
      <c r="WNQ368" s="357"/>
      <c r="WNR368" s="67"/>
      <c r="WNS368" s="67"/>
      <c r="WNU368" s="357"/>
      <c r="WNV368" s="67"/>
      <c r="WNW368" s="67"/>
      <c r="WNY368" s="357"/>
      <c r="WNZ368" s="67"/>
      <c r="WOA368" s="67"/>
      <c r="WOC368" s="357"/>
      <c r="WOD368" s="67"/>
      <c r="WOE368" s="67"/>
      <c r="WOG368" s="357"/>
      <c r="WOH368" s="67"/>
      <c r="WOI368" s="67"/>
      <c r="WOK368" s="357"/>
      <c r="WOL368" s="67"/>
      <c r="WOM368" s="67"/>
      <c r="WOO368" s="357"/>
      <c r="WOP368" s="67"/>
      <c r="WOQ368" s="67"/>
      <c r="WOS368" s="357"/>
      <c r="WOT368" s="67"/>
      <c r="WOU368" s="67"/>
      <c r="WOW368" s="357"/>
      <c r="WOX368" s="67"/>
      <c r="WOY368" s="67"/>
      <c r="WPA368" s="357"/>
      <c r="WPB368" s="67"/>
      <c r="WPC368" s="67"/>
      <c r="WPE368" s="357"/>
      <c r="WPF368" s="67"/>
      <c r="WPG368" s="67"/>
      <c r="WPI368" s="357"/>
      <c r="WPJ368" s="67"/>
      <c r="WPK368" s="67"/>
      <c r="WPM368" s="357"/>
      <c r="WPN368" s="67"/>
      <c r="WPO368" s="67"/>
      <c r="WPQ368" s="357"/>
      <c r="WPR368" s="67"/>
      <c r="WPS368" s="67"/>
      <c r="WPU368" s="357"/>
      <c r="WPV368" s="67"/>
      <c r="WPW368" s="67"/>
      <c r="WPY368" s="357"/>
      <c r="WPZ368" s="67"/>
      <c r="WQA368" s="67"/>
      <c r="WQC368" s="357"/>
      <c r="WQD368" s="67"/>
      <c r="WQE368" s="67"/>
      <c r="WQG368" s="357"/>
      <c r="WQH368" s="67"/>
      <c r="WQI368" s="67"/>
      <c r="WQK368" s="357"/>
      <c r="WQL368" s="67"/>
      <c r="WQM368" s="67"/>
      <c r="WQO368" s="357"/>
      <c r="WQP368" s="67"/>
      <c r="WQQ368" s="67"/>
      <c r="WQS368" s="357"/>
      <c r="WQT368" s="67"/>
      <c r="WQU368" s="67"/>
      <c r="WQW368" s="357"/>
      <c r="WQX368" s="67"/>
      <c r="WQY368" s="67"/>
      <c r="WRA368" s="357"/>
      <c r="WRB368" s="67"/>
      <c r="WRC368" s="67"/>
      <c r="WRE368" s="357"/>
      <c r="WRF368" s="67"/>
      <c r="WRG368" s="67"/>
      <c r="WRI368" s="357"/>
      <c r="WRJ368" s="67"/>
      <c r="WRK368" s="67"/>
      <c r="WRM368" s="357"/>
      <c r="WRN368" s="67"/>
      <c r="WRO368" s="67"/>
      <c r="WRQ368" s="357"/>
      <c r="WRR368" s="67"/>
      <c r="WRS368" s="67"/>
      <c r="WRU368" s="357"/>
      <c r="WRV368" s="67"/>
      <c r="WRW368" s="67"/>
      <c r="WRY368" s="357"/>
      <c r="WRZ368" s="67"/>
      <c r="WSA368" s="67"/>
      <c r="WSC368" s="357"/>
      <c r="WSD368" s="67"/>
      <c r="WSE368" s="67"/>
      <c r="WSG368" s="357"/>
      <c r="WSH368" s="67"/>
      <c r="WSI368" s="67"/>
      <c r="WSK368" s="357"/>
      <c r="WSL368" s="67"/>
      <c r="WSM368" s="67"/>
      <c r="WSO368" s="357"/>
      <c r="WSP368" s="67"/>
      <c r="WSQ368" s="67"/>
      <c r="WSS368" s="357"/>
      <c r="WST368" s="67"/>
      <c r="WSU368" s="67"/>
      <c r="WSW368" s="357"/>
      <c r="WSX368" s="67"/>
      <c r="WSY368" s="67"/>
      <c r="WTA368" s="357"/>
      <c r="WTB368" s="67"/>
      <c r="WTC368" s="67"/>
      <c r="WTE368" s="357"/>
      <c r="WTF368" s="67"/>
      <c r="WTG368" s="67"/>
      <c r="WTI368" s="357"/>
      <c r="WTJ368" s="67"/>
      <c r="WTK368" s="67"/>
      <c r="WTM368" s="357"/>
      <c r="WTN368" s="67"/>
      <c r="WTO368" s="67"/>
      <c r="WTQ368" s="357"/>
      <c r="WTR368" s="67"/>
      <c r="WTS368" s="67"/>
      <c r="WTU368" s="357"/>
      <c r="WTV368" s="67"/>
      <c r="WTW368" s="67"/>
      <c r="WTY368" s="357"/>
      <c r="WTZ368" s="67"/>
      <c r="WUA368" s="67"/>
      <c r="WUC368" s="357"/>
      <c r="WUD368" s="67"/>
      <c r="WUE368" s="67"/>
      <c r="WUG368" s="357"/>
      <c r="WUH368" s="67"/>
      <c r="WUI368" s="67"/>
      <c r="WUK368" s="357"/>
      <c r="WUL368" s="67"/>
      <c r="WUM368" s="67"/>
      <c r="WUO368" s="357"/>
      <c r="WUP368" s="67"/>
      <c r="WUQ368" s="67"/>
      <c r="WUS368" s="357"/>
      <c r="WUT368" s="67"/>
      <c r="WUU368" s="67"/>
      <c r="WUW368" s="357"/>
      <c r="WUX368" s="67"/>
      <c r="WUY368" s="67"/>
      <c r="WVA368" s="357"/>
      <c r="WVB368" s="67"/>
      <c r="WVC368" s="67"/>
      <c r="WVE368" s="357"/>
      <c r="WVF368" s="67"/>
      <c r="WVG368" s="67"/>
      <c r="WVI368" s="357"/>
      <c r="WVJ368" s="67"/>
      <c r="WVK368" s="67"/>
      <c r="WVM368" s="357"/>
      <c r="WVN368" s="67"/>
      <c r="WVO368" s="67"/>
      <c r="WVQ368" s="357"/>
      <c r="WVR368" s="67"/>
      <c r="WVS368" s="67"/>
      <c r="WVU368" s="357"/>
      <c r="WVV368" s="67"/>
      <c r="WVW368" s="67"/>
      <c r="WVY368" s="357"/>
      <c r="WVZ368" s="67"/>
      <c r="WWA368" s="67"/>
      <c r="WWC368" s="357"/>
      <c r="WWD368" s="67"/>
      <c r="WWE368" s="67"/>
      <c r="WWG368" s="357"/>
      <c r="WWH368" s="67"/>
      <c r="WWI368" s="67"/>
      <c r="WWK368" s="357"/>
      <c r="WWL368" s="67"/>
      <c r="WWM368" s="67"/>
      <c r="WWO368" s="357"/>
      <c r="WWP368" s="67"/>
      <c r="WWQ368" s="67"/>
      <c r="WWS368" s="357"/>
      <c r="WWT368" s="67"/>
      <c r="WWU368" s="67"/>
      <c r="WWW368" s="357"/>
      <c r="WWX368" s="67"/>
      <c r="WWY368" s="67"/>
      <c r="WXA368" s="357"/>
      <c r="WXB368" s="67"/>
      <c r="WXC368" s="67"/>
      <c r="WXE368" s="357"/>
      <c r="WXF368" s="67"/>
      <c r="WXG368" s="67"/>
      <c r="WXI368" s="357"/>
      <c r="WXJ368" s="67"/>
      <c r="WXK368" s="67"/>
      <c r="WXM368" s="357"/>
      <c r="WXN368" s="67"/>
      <c r="WXO368" s="67"/>
      <c r="WXQ368" s="357"/>
      <c r="WXR368" s="67"/>
      <c r="WXS368" s="67"/>
      <c r="WXU368" s="357"/>
      <c r="WXV368" s="67"/>
      <c r="WXW368" s="67"/>
      <c r="WXY368" s="357"/>
      <c r="WXZ368" s="67"/>
      <c r="WYA368" s="67"/>
      <c r="WYC368" s="357"/>
      <c r="WYD368" s="67"/>
      <c r="WYE368" s="67"/>
      <c r="WYG368" s="357"/>
      <c r="WYH368" s="67"/>
      <c r="WYI368" s="67"/>
      <c r="WYK368" s="357"/>
      <c r="WYL368" s="67"/>
      <c r="WYM368" s="67"/>
      <c r="WYO368" s="357"/>
      <c r="WYP368" s="67"/>
      <c r="WYQ368" s="67"/>
      <c r="WYS368" s="357"/>
      <c r="WYT368" s="67"/>
      <c r="WYU368" s="67"/>
      <c r="WYW368" s="357"/>
      <c r="WYX368" s="67"/>
      <c r="WYY368" s="67"/>
      <c r="WZA368" s="357"/>
      <c r="WZB368" s="67"/>
      <c r="WZC368" s="67"/>
      <c r="WZE368" s="357"/>
      <c r="WZF368" s="67"/>
      <c r="WZG368" s="67"/>
      <c r="WZI368" s="357"/>
      <c r="WZJ368" s="67"/>
      <c r="WZK368" s="67"/>
      <c r="WZM368" s="357"/>
      <c r="WZN368" s="67"/>
      <c r="WZO368" s="67"/>
      <c r="WZQ368" s="357"/>
      <c r="WZR368" s="67"/>
      <c r="WZS368" s="67"/>
      <c r="WZU368" s="357"/>
      <c r="WZV368" s="67"/>
      <c r="WZW368" s="67"/>
      <c r="WZY368" s="357"/>
      <c r="WZZ368" s="67"/>
      <c r="XAA368" s="67"/>
      <c r="XAC368" s="357"/>
      <c r="XAD368" s="67"/>
      <c r="XAE368" s="67"/>
      <c r="XAG368" s="357"/>
      <c r="XAH368" s="67"/>
      <c r="XAI368" s="67"/>
      <c r="XAK368" s="357"/>
      <c r="XAL368" s="67"/>
      <c r="XAM368" s="67"/>
      <c r="XAO368" s="357"/>
      <c r="XAP368" s="67"/>
      <c r="XAQ368" s="67"/>
      <c r="XAS368" s="357"/>
      <c r="XAT368" s="67"/>
      <c r="XAU368" s="67"/>
      <c r="XAW368" s="357"/>
      <c r="XAX368" s="67"/>
      <c r="XAY368" s="67"/>
      <c r="XBA368" s="357"/>
      <c r="XBB368" s="67"/>
      <c r="XBC368" s="67"/>
      <c r="XBE368" s="357"/>
      <c r="XBF368" s="67"/>
      <c r="XBG368" s="67"/>
      <c r="XBI368" s="357"/>
      <c r="XBJ368" s="67"/>
      <c r="XBK368" s="67"/>
      <c r="XBM368" s="357"/>
      <c r="XBN368" s="67"/>
      <c r="XBO368" s="67"/>
      <c r="XBQ368" s="357"/>
      <c r="XBR368" s="67"/>
      <c r="XBS368" s="67"/>
      <c r="XBU368" s="357"/>
      <c r="XBV368" s="67"/>
      <c r="XBW368" s="67"/>
      <c r="XBY368" s="357"/>
      <c r="XBZ368" s="67"/>
      <c r="XCA368" s="67"/>
      <c r="XCC368" s="357"/>
      <c r="XCD368" s="67"/>
      <c r="XCE368" s="67"/>
      <c r="XCG368" s="357"/>
      <c r="XCH368" s="67"/>
      <c r="XCI368" s="67"/>
      <c r="XCK368" s="357"/>
      <c r="XCL368" s="67"/>
      <c r="XCM368" s="67"/>
      <c r="XCO368" s="357"/>
      <c r="XCP368" s="67"/>
      <c r="XCQ368" s="67"/>
      <c r="XCS368" s="357"/>
      <c r="XCT368" s="67"/>
      <c r="XCU368" s="67"/>
      <c r="XCW368" s="357"/>
      <c r="XCX368" s="67"/>
      <c r="XCY368" s="67"/>
      <c r="XDA368" s="357"/>
      <c r="XDB368" s="67"/>
      <c r="XDC368" s="67"/>
      <c r="XDE368" s="357"/>
      <c r="XDF368" s="67"/>
      <c r="XDG368" s="67"/>
      <c r="XDI368" s="357"/>
      <c r="XDJ368" s="67"/>
      <c r="XDK368" s="67"/>
      <c r="XDM368" s="357"/>
      <c r="XDN368" s="67"/>
      <c r="XDO368" s="67"/>
      <c r="XDQ368" s="357"/>
      <c r="XDR368" s="67"/>
      <c r="XDS368" s="67"/>
      <c r="XDU368" s="357"/>
      <c r="XDV368" s="67"/>
      <c r="XDW368" s="67"/>
      <c r="XDY368" s="357"/>
      <c r="XDZ368" s="67"/>
      <c r="XEA368" s="67"/>
      <c r="XEC368" s="357"/>
      <c r="XED368" s="67"/>
      <c r="XEE368" s="67"/>
      <c r="XEG368" s="357"/>
      <c r="XEH368" s="67"/>
      <c r="XEI368" s="67"/>
      <c r="XEK368" s="357"/>
      <c r="XEL368" s="67"/>
      <c r="XEM368" s="67"/>
      <c r="XEO368" s="357"/>
      <c r="XEP368" s="67"/>
      <c r="XEQ368" s="67"/>
      <c r="XES368" s="357"/>
      <c r="XET368" s="67"/>
      <c r="XEU368" s="67"/>
      <c r="XEW368" s="357"/>
      <c r="XEX368" s="67"/>
      <c r="XEY368" s="67"/>
      <c r="XFA368" s="357"/>
      <c r="XFB368" s="67"/>
      <c r="XFC368" s="67"/>
    </row>
    <row r="369" spans="1:6" s="13" customFormat="1" ht="17.399999999999999" hidden="1" x14ac:dyDescent="0.25">
      <c r="A369" s="358" t="s">
        <v>30</v>
      </c>
      <c r="B369" s="74"/>
      <c r="C369" s="317"/>
      <c r="D369" s="122"/>
      <c r="E369" s="100"/>
      <c r="F369" s="101"/>
    </row>
    <row r="370" spans="1:6" s="13" customFormat="1" ht="15" hidden="1" x14ac:dyDescent="0.25">
      <c r="A370" s="350" t="s">
        <v>311</v>
      </c>
      <c r="B370" s="351" t="s">
        <v>312</v>
      </c>
      <c r="C370" s="345"/>
      <c r="D370" s="290" t="s">
        <v>297</v>
      </c>
      <c r="E370" s="348" t="s">
        <v>323</v>
      </c>
      <c r="F370" s="349"/>
    </row>
    <row r="371" spans="1:6" s="13" customFormat="1" hidden="1" x14ac:dyDescent="0.25">
      <c r="A371" s="121" t="s">
        <v>196</v>
      </c>
      <c r="B371" s="74">
        <v>45</v>
      </c>
      <c r="C371" s="312" t="s">
        <v>118</v>
      </c>
      <c r="D371" s="122" t="s">
        <v>197</v>
      </c>
      <c r="E371" s="100"/>
      <c r="F371" s="101"/>
    </row>
    <row r="372" spans="1:6" s="13" customFormat="1" ht="27.6" hidden="1" x14ac:dyDescent="0.25">
      <c r="A372" s="121" t="s">
        <v>245</v>
      </c>
      <c r="B372" s="74">
        <v>80</v>
      </c>
      <c r="C372" s="312" t="s">
        <v>118</v>
      </c>
      <c r="D372" s="122"/>
      <c r="E372" s="100"/>
      <c r="F372" s="101"/>
    </row>
    <row r="373" spans="1:6" s="13" customFormat="1" ht="27.6" hidden="1" x14ac:dyDescent="0.25">
      <c r="A373" s="121" t="s">
        <v>246</v>
      </c>
      <c r="B373" s="74">
        <f>B371*1.1</f>
        <v>49.500000000000007</v>
      </c>
      <c r="C373" s="312" t="s">
        <v>118</v>
      </c>
      <c r="D373" s="122" t="s">
        <v>315</v>
      </c>
      <c r="E373" s="100" t="s">
        <v>318</v>
      </c>
      <c r="F373" s="101"/>
    </row>
    <row r="374" spans="1:6" s="13" customFormat="1" hidden="1" x14ac:dyDescent="0.25">
      <c r="A374" s="121"/>
      <c r="B374" s="74"/>
      <c r="C374" s="312"/>
      <c r="D374" s="122"/>
      <c r="E374" s="100"/>
      <c r="F374" s="101"/>
    </row>
    <row r="375" spans="1:6" s="13" customFormat="1" hidden="1" x14ac:dyDescent="0.25">
      <c r="A375" s="121"/>
      <c r="B375" s="74"/>
      <c r="C375" s="312"/>
      <c r="D375" s="122"/>
      <c r="E375" s="100"/>
      <c r="F375" s="101"/>
    </row>
    <row r="376" spans="1:6" s="13" customFormat="1" hidden="1" x14ac:dyDescent="0.25">
      <c r="A376" s="121" t="s">
        <v>198</v>
      </c>
      <c r="B376" s="74">
        <f>15*14</f>
        <v>210</v>
      </c>
      <c r="C376" s="312" t="s">
        <v>118</v>
      </c>
      <c r="D376" s="122" t="s">
        <v>200</v>
      </c>
      <c r="E376" s="100"/>
      <c r="F376" s="101"/>
    </row>
    <row r="377" spans="1:6" s="13" customFormat="1" hidden="1" x14ac:dyDescent="0.25">
      <c r="A377" s="121" t="s">
        <v>199</v>
      </c>
      <c r="B377" s="74">
        <f>10*14*1.3</f>
        <v>182</v>
      </c>
      <c r="C377" s="312" t="s">
        <v>118</v>
      </c>
      <c r="D377" s="122" t="s">
        <v>315</v>
      </c>
      <c r="E377" s="359" t="s">
        <v>314</v>
      </c>
      <c r="F377" s="101"/>
    </row>
    <row r="378" spans="1:6" s="13" customFormat="1" hidden="1" x14ac:dyDescent="0.25">
      <c r="A378" s="121" t="s">
        <v>201</v>
      </c>
      <c r="B378" s="74">
        <f>13*14*1.3</f>
        <v>236.6</v>
      </c>
      <c r="C378" s="312" t="s">
        <v>118</v>
      </c>
      <c r="D378" s="122" t="s">
        <v>315</v>
      </c>
      <c r="E378" s="359" t="s">
        <v>316</v>
      </c>
      <c r="F378" s="101"/>
    </row>
    <row r="379" spans="1:6" s="13" customFormat="1" ht="7.5" hidden="1" customHeight="1" x14ac:dyDescent="0.25">
      <c r="A379" s="121" t="s">
        <v>202</v>
      </c>
      <c r="B379" s="74">
        <f>145*1.3</f>
        <v>188.5</v>
      </c>
      <c r="C379" s="312" t="s">
        <v>118</v>
      </c>
      <c r="D379" s="122" t="s">
        <v>315</v>
      </c>
      <c r="E379" s="360" t="s">
        <v>317</v>
      </c>
      <c r="F379" s="101"/>
    </row>
    <row r="380" spans="1:6" s="13" customFormat="1" hidden="1" x14ac:dyDescent="0.25">
      <c r="A380" s="121"/>
      <c r="B380" s="74"/>
      <c r="C380" s="312"/>
      <c r="D380" s="122"/>
      <c r="E380" s="100"/>
      <c r="F380" s="101"/>
    </row>
    <row r="381" spans="1:6" s="13" customFormat="1" hidden="1" x14ac:dyDescent="0.25">
      <c r="A381" s="121"/>
      <c r="B381" s="74"/>
      <c r="C381" s="312"/>
      <c r="D381" s="122"/>
      <c r="E381" s="100"/>
      <c r="F381" s="101"/>
    </row>
    <row r="382" spans="1:6" s="13" customFormat="1" hidden="1" x14ac:dyDescent="0.25">
      <c r="A382" s="263"/>
      <c r="B382" s="76"/>
      <c r="C382" s="361"/>
      <c r="D382" s="268"/>
      <c r="E382" s="103"/>
      <c r="F382" s="104"/>
    </row>
    <row r="383" spans="1:6" s="13" customFormat="1" ht="17.399999999999999" hidden="1" x14ac:dyDescent="0.25">
      <c r="A383" s="355" t="s">
        <v>27</v>
      </c>
      <c r="B383" s="106"/>
      <c r="C383" s="261"/>
      <c r="D383" s="274"/>
      <c r="E383" s="107"/>
      <c r="F383" s="108"/>
    </row>
    <row r="384" spans="1:6" s="13" customFormat="1" ht="15" hidden="1" x14ac:dyDescent="0.25">
      <c r="A384" s="331" t="s">
        <v>311</v>
      </c>
      <c r="B384" s="352" t="s">
        <v>312</v>
      </c>
      <c r="C384" s="347"/>
      <c r="D384" s="278" t="s">
        <v>297</v>
      </c>
      <c r="E384" s="348" t="s">
        <v>323</v>
      </c>
      <c r="F384" s="316"/>
    </row>
    <row r="385" spans="1:6" s="13" customFormat="1" hidden="1" x14ac:dyDescent="0.25">
      <c r="A385" s="265" t="s">
        <v>122</v>
      </c>
      <c r="B385" s="106">
        <v>400</v>
      </c>
      <c r="C385" s="261" t="s">
        <v>118</v>
      </c>
      <c r="D385" s="354" t="s">
        <v>313</v>
      </c>
      <c r="E385" s="107"/>
      <c r="F385" s="108"/>
    </row>
    <row r="386" spans="1:6" s="13" customFormat="1" ht="27.6" hidden="1" x14ac:dyDescent="0.25">
      <c r="A386" s="124" t="s">
        <v>249</v>
      </c>
      <c r="B386" s="82">
        <f>B385+(B385*15%)</f>
        <v>460</v>
      </c>
      <c r="C386" s="257" t="s">
        <v>118</v>
      </c>
      <c r="D386" s="125"/>
      <c r="F386" s="109"/>
    </row>
    <row r="387" spans="1:6" s="13" customFormat="1" hidden="1" x14ac:dyDescent="0.25">
      <c r="A387" s="124" t="s">
        <v>250</v>
      </c>
      <c r="B387" s="82">
        <f>B385*1.1</f>
        <v>440.00000000000006</v>
      </c>
      <c r="C387" s="257" t="s">
        <v>118</v>
      </c>
      <c r="D387" s="125"/>
      <c r="F387" s="109"/>
    </row>
    <row r="388" spans="1:6" s="13" customFormat="1" hidden="1" x14ac:dyDescent="0.25">
      <c r="A388" s="124"/>
      <c r="B388" s="82"/>
      <c r="C388" s="257"/>
      <c r="D388" s="125"/>
      <c r="F388" s="109"/>
    </row>
    <row r="389" spans="1:6" s="13" customFormat="1" hidden="1" x14ac:dyDescent="0.25">
      <c r="A389" s="124" t="s">
        <v>123</v>
      </c>
      <c r="B389" s="353">
        <f>6665/B393</f>
        <v>3545.2127659574471</v>
      </c>
      <c r="C389" s="257" t="s">
        <v>205</v>
      </c>
      <c r="D389" s="125" t="s">
        <v>281</v>
      </c>
      <c r="F389" s="109"/>
    </row>
    <row r="390" spans="1:6" s="13" customFormat="1" hidden="1" x14ac:dyDescent="0.25">
      <c r="A390" s="124" t="s">
        <v>199</v>
      </c>
      <c r="B390" s="353">
        <f>2524/B393*1.4</f>
        <v>1879.5744680851064</v>
      </c>
      <c r="C390" s="257" t="s">
        <v>205</v>
      </c>
      <c r="D390" s="125" t="s">
        <v>315</v>
      </c>
      <c r="E390" s="258" t="s">
        <v>314</v>
      </c>
      <c r="F390" s="109"/>
    </row>
    <row r="391" spans="1:6" s="13" customFormat="1" hidden="1" x14ac:dyDescent="0.25">
      <c r="A391" s="124" t="s">
        <v>201</v>
      </c>
      <c r="B391" s="82">
        <f>1597*1.4</f>
        <v>2235.7999999999997</v>
      </c>
      <c r="C391" s="257" t="s">
        <v>118</v>
      </c>
      <c r="D391" s="125" t="s">
        <v>315</v>
      </c>
      <c r="E391" s="258" t="s">
        <v>316</v>
      </c>
      <c r="F391" s="109"/>
    </row>
    <row r="392" spans="1:6" s="13" customFormat="1" hidden="1" x14ac:dyDescent="0.25">
      <c r="A392" s="124" t="s">
        <v>202</v>
      </c>
      <c r="B392" s="82">
        <f>145*1.4</f>
        <v>203</v>
      </c>
      <c r="C392" s="257" t="s">
        <v>118</v>
      </c>
      <c r="D392" s="125" t="s">
        <v>315</v>
      </c>
      <c r="E392" s="259" t="s">
        <v>317</v>
      </c>
      <c r="F392" s="109"/>
    </row>
    <row r="393" spans="1:6" s="13" customFormat="1" hidden="1" x14ac:dyDescent="0.25">
      <c r="A393" s="124"/>
      <c r="B393" s="270">
        <v>1.88</v>
      </c>
      <c r="C393" s="68" t="s">
        <v>5</v>
      </c>
      <c r="D393" s="125"/>
      <c r="F393" s="109"/>
    </row>
    <row r="394" spans="1:6" s="13" customFormat="1" hidden="1" x14ac:dyDescent="0.25">
      <c r="A394" s="124"/>
      <c r="B394" s="82"/>
      <c r="C394" s="257"/>
      <c r="D394" s="125"/>
      <c r="F394" s="109"/>
    </row>
    <row r="395" spans="1:6" s="13" customFormat="1" hidden="1" x14ac:dyDescent="0.25">
      <c r="A395" s="124"/>
      <c r="B395" s="82"/>
      <c r="C395" s="257"/>
      <c r="D395" s="125"/>
      <c r="F395" s="109"/>
    </row>
    <row r="396" spans="1:6" s="13" customFormat="1" hidden="1" x14ac:dyDescent="0.25">
      <c r="A396" s="127"/>
      <c r="B396" s="87"/>
      <c r="C396" s="260"/>
      <c r="D396" s="128"/>
      <c r="E396" s="110"/>
      <c r="F396" s="111"/>
    </row>
    <row r="397" spans="1:6" s="13" customFormat="1" ht="17.399999999999999" hidden="1" x14ac:dyDescent="0.25">
      <c r="A397" s="362" t="s">
        <v>0</v>
      </c>
      <c r="B397" s="96"/>
      <c r="C397" s="363"/>
      <c r="D397" s="364"/>
      <c r="E397" s="97"/>
      <c r="F397" s="98"/>
    </row>
    <row r="398" spans="1:6" s="13" customFormat="1" ht="15" hidden="1" x14ac:dyDescent="0.25">
      <c r="A398" s="350" t="s">
        <v>311</v>
      </c>
      <c r="B398" s="351" t="s">
        <v>312</v>
      </c>
      <c r="C398" s="345"/>
      <c r="D398" s="290" t="s">
        <v>297</v>
      </c>
      <c r="E398" s="348" t="s">
        <v>323</v>
      </c>
      <c r="F398" s="349"/>
    </row>
    <row r="399" spans="1:6" s="13" customFormat="1" hidden="1" x14ac:dyDescent="0.25">
      <c r="A399" s="121" t="s">
        <v>119</v>
      </c>
      <c r="B399" s="74">
        <v>5.8</v>
      </c>
      <c r="C399" s="312" t="s">
        <v>204</v>
      </c>
      <c r="D399" s="365" t="s">
        <v>313</v>
      </c>
      <c r="E399" s="100"/>
      <c r="F399" s="101"/>
    </row>
    <row r="400" spans="1:6" s="13" customFormat="1" hidden="1" x14ac:dyDescent="0.25">
      <c r="A400" s="121" t="s">
        <v>253</v>
      </c>
      <c r="B400" s="74">
        <v>8.6999999999999993</v>
      </c>
      <c r="C400" s="312" t="s">
        <v>204</v>
      </c>
      <c r="D400" s="365"/>
      <c r="E400" s="100"/>
      <c r="F400" s="101"/>
    </row>
    <row r="401" spans="1:6" s="13" customFormat="1" hidden="1" x14ac:dyDescent="0.25">
      <c r="A401" s="121" t="s">
        <v>254</v>
      </c>
      <c r="B401" s="366">
        <f>784.62/66</f>
        <v>11.888181818181819</v>
      </c>
      <c r="C401" s="312" t="s">
        <v>204</v>
      </c>
      <c r="D401" s="365"/>
      <c r="E401" s="100"/>
      <c r="F401" s="101"/>
    </row>
    <row r="402" spans="1:6" s="13" customFormat="1" hidden="1" x14ac:dyDescent="0.25">
      <c r="A402" s="121" t="s">
        <v>252</v>
      </c>
      <c r="B402" s="74">
        <f>B399*1.1</f>
        <v>6.38</v>
      </c>
      <c r="C402" s="312" t="s">
        <v>204</v>
      </c>
      <c r="D402" s="122"/>
      <c r="E402" s="100"/>
      <c r="F402" s="101"/>
    </row>
    <row r="403" spans="1:6" s="13" customFormat="1" hidden="1" x14ac:dyDescent="0.25">
      <c r="A403" s="121"/>
      <c r="B403" s="74"/>
      <c r="C403" s="312"/>
      <c r="D403" s="122"/>
      <c r="E403" s="100"/>
      <c r="F403" s="101"/>
    </row>
    <row r="404" spans="1:6" s="13" customFormat="1" hidden="1" x14ac:dyDescent="0.25">
      <c r="A404" s="121" t="s">
        <v>120</v>
      </c>
      <c r="B404" s="74">
        <v>7.5</v>
      </c>
      <c r="C404" s="312" t="s">
        <v>204</v>
      </c>
      <c r="D404" s="122" t="s">
        <v>200</v>
      </c>
      <c r="E404" s="367"/>
      <c r="F404" s="101"/>
    </row>
    <row r="405" spans="1:6" s="13" customFormat="1" hidden="1" x14ac:dyDescent="0.25">
      <c r="A405" s="121" t="s">
        <v>199</v>
      </c>
      <c r="B405" s="74">
        <v>10</v>
      </c>
      <c r="C405" s="312" t="s">
        <v>204</v>
      </c>
      <c r="D405" s="122" t="s">
        <v>315</v>
      </c>
      <c r="E405" s="359" t="s">
        <v>314</v>
      </c>
      <c r="F405" s="101"/>
    </row>
    <row r="406" spans="1:6" s="13" customFormat="1" hidden="1" x14ac:dyDescent="0.25">
      <c r="A406" s="121" t="s">
        <v>201</v>
      </c>
      <c r="B406" s="74">
        <v>11.89</v>
      </c>
      <c r="C406" s="312" t="s">
        <v>204</v>
      </c>
      <c r="D406" s="122" t="s">
        <v>315</v>
      </c>
      <c r="E406" s="359" t="s">
        <v>316</v>
      </c>
      <c r="F406" s="101"/>
    </row>
    <row r="407" spans="1:6" s="13" customFormat="1" hidden="1" x14ac:dyDescent="0.25">
      <c r="A407" s="121" t="s">
        <v>202</v>
      </c>
      <c r="B407" s="74">
        <v>10.4</v>
      </c>
      <c r="C407" s="312" t="s">
        <v>204</v>
      </c>
      <c r="D407" s="122" t="s">
        <v>315</v>
      </c>
      <c r="E407" s="360" t="s">
        <v>317</v>
      </c>
      <c r="F407" s="101"/>
    </row>
    <row r="408" spans="1:6" s="13" customFormat="1" hidden="1" x14ac:dyDescent="0.25">
      <c r="A408" s="121"/>
      <c r="B408" s="74"/>
      <c r="C408" s="312"/>
      <c r="D408" s="122"/>
      <c r="E408" s="100"/>
      <c r="F408" s="101"/>
    </row>
    <row r="409" spans="1:6" s="13" customFormat="1" hidden="1" x14ac:dyDescent="0.25">
      <c r="A409" s="121"/>
      <c r="B409" s="74"/>
      <c r="C409" s="312"/>
      <c r="D409" s="122"/>
      <c r="E409" s="100"/>
      <c r="F409" s="101"/>
    </row>
    <row r="410" spans="1:6" s="13" customFormat="1" hidden="1" x14ac:dyDescent="0.25">
      <c r="A410" s="121"/>
      <c r="B410" s="74"/>
      <c r="C410" s="99"/>
      <c r="D410" s="122"/>
      <c r="E410" s="100"/>
      <c r="F410" s="101"/>
    </row>
    <row r="411" spans="1:6" s="13" customFormat="1" hidden="1" x14ac:dyDescent="0.25">
      <c r="A411" s="121"/>
      <c r="B411" s="74"/>
      <c r="C411" s="99"/>
      <c r="D411" s="122"/>
      <c r="E411" s="100"/>
      <c r="F411" s="101"/>
    </row>
    <row r="412" spans="1:6" s="13" customFormat="1" hidden="1" x14ac:dyDescent="0.25">
      <c r="A412" s="121"/>
      <c r="B412" s="74"/>
      <c r="C412" s="99"/>
      <c r="D412" s="122"/>
      <c r="E412" s="100"/>
      <c r="F412" s="101"/>
    </row>
    <row r="413" spans="1:6" s="13" customFormat="1" hidden="1" x14ac:dyDescent="0.25">
      <c r="A413" s="263"/>
      <c r="B413" s="76"/>
      <c r="C413" s="102"/>
      <c r="D413" s="268"/>
      <c r="E413" s="103"/>
      <c r="F413" s="104"/>
    </row>
    <row r="414" spans="1:6" s="13" customFormat="1" ht="23.4" x14ac:dyDescent="0.4">
      <c r="A414" s="489" t="s">
        <v>305</v>
      </c>
      <c r="B414" s="490"/>
      <c r="C414" s="490"/>
      <c r="D414" s="491"/>
      <c r="E414" s="491"/>
      <c r="F414" s="491"/>
    </row>
    <row r="415" spans="1:6" s="13" customFormat="1" ht="17.399999999999999" x14ac:dyDescent="0.25">
      <c r="A415" s="355" t="s">
        <v>31</v>
      </c>
      <c r="B415" s="106"/>
      <c r="C415" s="261"/>
      <c r="D415" s="274"/>
      <c r="E415" s="107"/>
      <c r="F415" s="108"/>
    </row>
    <row r="416" spans="1:6" s="13" customFormat="1" ht="15" x14ac:dyDescent="0.25">
      <c r="A416" s="350" t="s">
        <v>311</v>
      </c>
      <c r="B416" s="351" t="s">
        <v>312</v>
      </c>
      <c r="C416" s="345"/>
      <c r="D416" s="290" t="s">
        <v>297</v>
      </c>
      <c r="E416" s="348" t="s">
        <v>323</v>
      </c>
      <c r="F416" s="346"/>
    </row>
    <row r="417" spans="1:6" s="13" customFormat="1" x14ac:dyDescent="0.25">
      <c r="A417" s="124" t="s">
        <v>237</v>
      </c>
      <c r="B417" s="82">
        <v>305</v>
      </c>
      <c r="C417" s="257" t="s">
        <v>236</v>
      </c>
      <c r="D417" s="125" t="s">
        <v>319</v>
      </c>
      <c r="F417" s="109"/>
    </row>
    <row r="418" spans="1:6" s="13" customFormat="1" x14ac:dyDescent="0.25">
      <c r="A418" s="124" t="s">
        <v>238</v>
      </c>
      <c r="B418" s="82">
        <f>B417+180</f>
        <v>485</v>
      </c>
      <c r="C418" s="257" t="s">
        <v>236</v>
      </c>
      <c r="D418" s="125" t="s">
        <v>319</v>
      </c>
      <c r="F418" s="109"/>
    </row>
    <row r="419" spans="1:6" s="13" customFormat="1" x14ac:dyDescent="0.25">
      <c r="A419" s="124" t="s">
        <v>239</v>
      </c>
      <c r="B419" s="82">
        <f>B417+235</f>
        <v>540</v>
      </c>
      <c r="C419" s="257" t="s">
        <v>236</v>
      </c>
      <c r="D419" s="125" t="s">
        <v>319</v>
      </c>
      <c r="F419" s="109"/>
    </row>
    <row r="420" spans="1:6" s="13" customFormat="1" x14ac:dyDescent="0.25">
      <c r="A420" s="124" t="s">
        <v>240</v>
      </c>
      <c r="B420" s="82">
        <f>B417+625</f>
        <v>930</v>
      </c>
      <c r="C420" s="257" t="s">
        <v>236</v>
      </c>
      <c r="D420" s="125" t="s">
        <v>319</v>
      </c>
      <c r="F420" s="109"/>
    </row>
    <row r="421" spans="1:6" s="13" customFormat="1" x14ac:dyDescent="0.25">
      <c r="A421" s="13" t="s">
        <v>399</v>
      </c>
      <c r="B421" s="13">
        <f>SUM(B417:B420)/4</f>
        <v>565</v>
      </c>
      <c r="C421" s="13" t="s">
        <v>236</v>
      </c>
      <c r="D421" s="125"/>
      <c r="F421" s="109"/>
    </row>
    <row r="422" spans="1:6" s="13" customFormat="1" ht="14.25" customHeight="1" x14ac:dyDescent="0.25">
      <c r="A422" s="124" t="s">
        <v>398</v>
      </c>
      <c r="B422" s="510">
        <f>SUM(B418:B420)/3</f>
        <v>651.66666666666663</v>
      </c>
      <c r="C422" s="257" t="s">
        <v>236</v>
      </c>
      <c r="D422" s="125"/>
      <c r="F422" s="109"/>
    </row>
    <row r="423" spans="1:6" s="13" customFormat="1" ht="14.25" customHeight="1" x14ac:dyDescent="0.25">
      <c r="A423" s="124"/>
      <c r="B423" s="82"/>
      <c r="C423" s="257"/>
      <c r="D423" s="125"/>
      <c r="F423" s="109"/>
    </row>
    <row r="424" spans="1:6" s="13" customFormat="1" x14ac:dyDescent="0.25">
      <c r="A424" s="124" t="s">
        <v>386</v>
      </c>
      <c r="B424" s="82"/>
      <c r="C424" s="257"/>
      <c r="D424" s="125"/>
      <c r="F424" s="109"/>
    </row>
    <row r="425" spans="1:6" s="13" customFormat="1" x14ac:dyDescent="0.25">
      <c r="A425" s="124" t="s">
        <v>389</v>
      </c>
      <c r="B425" s="507">
        <f>B433*B432</f>
        <v>245</v>
      </c>
      <c r="C425" s="257" t="s">
        <v>236</v>
      </c>
      <c r="D425" s="125"/>
      <c r="F425" s="109"/>
    </row>
    <row r="426" spans="1:6" s="13" customFormat="1" x14ac:dyDescent="0.25">
      <c r="A426" s="82" t="s">
        <v>387</v>
      </c>
      <c r="B426" s="508">
        <f>B434*B432</f>
        <v>525</v>
      </c>
      <c r="C426" s="257" t="s">
        <v>236</v>
      </c>
      <c r="D426" s="125"/>
      <c r="F426" s="109"/>
    </row>
    <row r="427" spans="1:6" s="13" customFormat="1" x14ac:dyDescent="0.25">
      <c r="A427" s="82" t="s">
        <v>388</v>
      </c>
      <c r="B427" s="508">
        <f>B435*B432</f>
        <v>717.5</v>
      </c>
      <c r="C427" s="257" t="s">
        <v>236</v>
      </c>
      <c r="D427" s="125"/>
      <c r="F427" s="109"/>
    </row>
    <row r="428" spans="1:6" s="13" customFormat="1" x14ac:dyDescent="0.25">
      <c r="A428" s="67" t="s">
        <v>392</v>
      </c>
      <c r="B428" s="511">
        <f>B436*B432</f>
        <v>169.75</v>
      </c>
      <c r="C428" s="257" t="s">
        <v>236</v>
      </c>
      <c r="D428" s="125"/>
      <c r="F428" s="109"/>
    </row>
    <row r="429" spans="1:6" s="13" customFormat="1" x14ac:dyDescent="0.25">
      <c r="A429" s="13" t="s">
        <v>399</v>
      </c>
      <c r="B429" s="511">
        <f>SUM(B425:B428)/4</f>
        <v>414.3125</v>
      </c>
      <c r="C429" s="257" t="s">
        <v>236</v>
      </c>
      <c r="D429" s="125"/>
      <c r="F429" s="109"/>
    </row>
    <row r="430" spans="1:6" s="13" customFormat="1" x14ac:dyDescent="0.25">
      <c r="A430" s="124" t="s">
        <v>398</v>
      </c>
      <c r="B430" s="511">
        <f>SUM(B426:B428)/3</f>
        <v>470.75</v>
      </c>
      <c r="C430" s="257" t="s">
        <v>236</v>
      </c>
      <c r="D430" s="125"/>
      <c r="F430" s="109"/>
    </row>
    <row r="431" spans="1:6" s="13" customFormat="1" x14ac:dyDescent="0.25">
      <c r="B431" s="272"/>
      <c r="D431" s="125"/>
      <c r="F431" s="109"/>
    </row>
    <row r="432" spans="1:6" s="13" customFormat="1" ht="14.4" x14ac:dyDescent="0.3">
      <c r="A432" s="82" t="s">
        <v>391</v>
      </c>
      <c r="B432" s="82">
        <v>1.75</v>
      </c>
      <c r="C432" s="257" t="s">
        <v>393</v>
      </c>
      <c r="D432" s="125" t="s">
        <v>395</v>
      </c>
      <c r="E432" s="509" t="s">
        <v>394</v>
      </c>
      <c r="F432" s="109"/>
    </row>
    <row r="433" spans="1:6" s="13" customFormat="1" ht="14.4" x14ac:dyDescent="0.3">
      <c r="A433" s="124" t="s">
        <v>389</v>
      </c>
      <c r="B433" s="507">
        <v>140</v>
      </c>
      <c r="C433" s="257" t="s">
        <v>390</v>
      </c>
      <c r="D433" s="125" t="s">
        <v>400</v>
      </c>
      <c r="E433" s="509" t="s">
        <v>401</v>
      </c>
      <c r="F433" s="109"/>
    </row>
    <row r="434" spans="1:6" s="13" customFormat="1" ht="14.4" x14ac:dyDescent="0.3">
      <c r="A434" s="82" t="s">
        <v>387</v>
      </c>
      <c r="B434" s="508">
        <v>300</v>
      </c>
      <c r="C434" s="257" t="s">
        <v>390</v>
      </c>
      <c r="D434" s="125" t="s">
        <v>400</v>
      </c>
      <c r="E434" s="509" t="s">
        <v>401</v>
      </c>
      <c r="F434" s="109"/>
    </row>
    <row r="435" spans="1:6" s="13" customFormat="1" ht="14.4" x14ac:dyDescent="0.3">
      <c r="A435" s="82" t="s">
        <v>388</v>
      </c>
      <c r="B435" s="508">
        <v>410</v>
      </c>
      <c r="C435" s="257" t="s">
        <v>390</v>
      </c>
      <c r="D435" s="125" t="s">
        <v>400</v>
      </c>
      <c r="E435" s="509" t="s">
        <v>401</v>
      </c>
      <c r="F435" s="109"/>
    </row>
    <row r="436" spans="1:6" s="13" customFormat="1" ht="14.4" x14ac:dyDescent="0.3">
      <c r="A436" s="82" t="s">
        <v>392</v>
      </c>
      <c r="B436" s="82">
        <v>97</v>
      </c>
      <c r="C436" s="257" t="s">
        <v>390</v>
      </c>
      <c r="D436" s="125" t="s">
        <v>396</v>
      </c>
      <c r="E436" s="509" t="s">
        <v>397</v>
      </c>
      <c r="F436" s="109"/>
    </row>
    <row r="437" spans="1:6" s="13" customFormat="1" x14ac:dyDescent="0.25">
      <c r="A437" s="124"/>
      <c r="B437" s="82"/>
      <c r="C437" s="257"/>
      <c r="D437" s="125"/>
      <c r="F437" s="109"/>
    </row>
    <row r="438" spans="1:6" s="13" customFormat="1" x14ac:dyDescent="0.25">
      <c r="A438" s="124" t="s">
        <v>199</v>
      </c>
      <c r="B438" s="82"/>
      <c r="C438" s="67"/>
      <c r="D438" s="125"/>
      <c r="F438" s="109"/>
    </row>
    <row r="439" spans="1:6" s="13" customFormat="1" x14ac:dyDescent="0.25">
      <c r="A439" s="124" t="s">
        <v>201</v>
      </c>
      <c r="B439" s="82"/>
      <c r="C439" s="67"/>
      <c r="D439" s="125"/>
      <c r="F439" s="109"/>
    </row>
    <row r="440" spans="1:6" s="13" customFormat="1" x14ac:dyDescent="0.25">
      <c r="A440" s="124" t="s">
        <v>202</v>
      </c>
      <c r="B440" s="87"/>
      <c r="C440" s="77"/>
      <c r="D440" s="128"/>
      <c r="E440" s="110"/>
      <c r="F440" s="111"/>
    </row>
    <row r="441" spans="1:6" s="13" customFormat="1" ht="17.399999999999999" x14ac:dyDescent="0.25">
      <c r="A441" s="362" t="s">
        <v>105</v>
      </c>
      <c r="B441" s="96"/>
      <c r="C441" s="363"/>
      <c r="D441" s="364"/>
      <c r="E441" s="97"/>
      <c r="F441" s="98"/>
    </row>
    <row r="442" spans="1:6" s="13" customFormat="1" ht="15" x14ac:dyDescent="0.25">
      <c r="A442" s="350" t="s">
        <v>311</v>
      </c>
      <c r="B442" s="351" t="s">
        <v>312</v>
      </c>
      <c r="C442" s="345"/>
      <c r="D442" s="290" t="s">
        <v>297</v>
      </c>
      <c r="E442" s="348" t="s">
        <v>323</v>
      </c>
      <c r="F442" s="346"/>
    </row>
    <row r="443" spans="1:6" s="13" customFormat="1" ht="14.4" x14ac:dyDescent="0.25">
      <c r="A443" s="121" t="s">
        <v>228</v>
      </c>
      <c r="B443" s="74">
        <v>75</v>
      </c>
      <c r="C443" s="312" t="s">
        <v>118</v>
      </c>
      <c r="D443" s="122" t="s">
        <v>338</v>
      </c>
      <c r="E443" s="434" t="s">
        <v>343</v>
      </c>
      <c r="F443" s="368"/>
    </row>
    <row r="444" spans="1:6" s="13" customFormat="1" x14ac:dyDescent="0.25">
      <c r="A444" s="121" t="s">
        <v>232</v>
      </c>
      <c r="B444" s="74">
        <f>B443*1.2</f>
        <v>90</v>
      </c>
      <c r="C444" s="312" t="s">
        <v>118</v>
      </c>
      <c r="D444" s="122"/>
      <c r="E444" s="100"/>
      <c r="F444" s="101"/>
    </row>
    <row r="445" spans="1:6" s="13" customFormat="1" x14ac:dyDescent="0.25">
      <c r="A445" s="5" t="s">
        <v>256</v>
      </c>
      <c r="B445" s="74">
        <f>B443*1.1</f>
        <v>82.5</v>
      </c>
      <c r="C445" s="312" t="s">
        <v>118</v>
      </c>
      <c r="D445" s="122"/>
      <c r="E445" s="100"/>
      <c r="F445" s="101"/>
    </row>
    <row r="446" spans="1:6" s="13" customFormat="1" x14ac:dyDescent="0.25">
      <c r="A446" s="121"/>
      <c r="B446" s="74"/>
      <c r="C446" s="312"/>
      <c r="D446" s="122"/>
      <c r="E446" s="100"/>
      <c r="F446" s="101"/>
    </row>
    <row r="447" spans="1:6" s="13" customFormat="1" x14ac:dyDescent="0.25">
      <c r="A447" s="121" t="s">
        <v>230</v>
      </c>
      <c r="B447" s="74">
        <v>431.57</v>
      </c>
      <c r="C447" s="312" t="s">
        <v>118</v>
      </c>
      <c r="D447" s="122" t="s">
        <v>319</v>
      </c>
      <c r="E447" s="100"/>
      <c r="F447" s="101"/>
    </row>
    <row r="448" spans="1:6" s="13" customFormat="1" x14ac:dyDescent="0.25">
      <c r="A448" s="121" t="s">
        <v>199</v>
      </c>
      <c r="B448" s="74">
        <v>0</v>
      </c>
      <c r="C448" s="312" t="s">
        <v>118</v>
      </c>
      <c r="D448" s="122" t="s">
        <v>319</v>
      </c>
      <c r="E448" s="100"/>
      <c r="F448" s="101"/>
    </row>
    <row r="449" spans="1:6" s="13" customFormat="1" x14ac:dyDescent="0.25">
      <c r="A449" s="121" t="s">
        <v>201</v>
      </c>
      <c r="B449" s="74"/>
      <c r="C449" s="312" t="s">
        <v>118</v>
      </c>
      <c r="D449" s="122" t="s">
        <v>319</v>
      </c>
      <c r="E449" s="100"/>
      <c r="F449" s="101"/>
    </row>
    <row r="450" spans="1:6" s="13" customFormat="1" x14ac:dyDescent="0.25">
      <c r="A450" s="121" t="s">
        <v>202</v>
      </c>
      <c r="B450" s="74"/>
      <c r="C450" s="312" t="s">
        <v>118</v>
      </c>
      <c r="D450" s="122" t="s">
        <v>319</v>
      </c>
      <c r="E450" s="100"/>
      <c r="F450" s="101"/>
    </row>
    <row r="451" spans="1:6" s="13" customFormat="1" x14ac:dyDescent="0.25">
      <c r="A451" s="121"/>
      <c r="B451" s="74"/>
      <c r="C451" s="312"/>
      <c r="D451" s="122"/>
      <c r="E451" s="100"/>
      <c r="F451" s="101"/>
    </row>
    <row r="452" spans="1:6" s="13" customFormat="1" x14ac:dyDescent="0.25">
      <c r="A452" s="121"/>
      <c r="B452" s="74"/>
      <c r="C452" s="312"/>
      <c r="D452" s="122"/>
      <c r="E452" s="100"/>
      <c r="F452" s="101"/>
    </row>
    <row r="453" spans="1:6" s="13" customFormat="1" x14ac:dyDescent="0.25">
      <c r="A453" s="121" t="s">
        <v>282</v>
      </c>
      <c r="B453" s="74">
        <v>25</v>
      </c>
      <c r="C453" s="312" t="s">
        <v>118</v>
      </c>
      <c r="D453" s="122"/>
      <c r="E453" s="100"/>
      <c r="F453" s="101"/>
    </row>
    <row r="454" spans="1:6" s="13" customFormat="1" x14ac:dyDescent="0.25">
      <c r="A454" s="121"/>
      <c r="B454" s="74"/>
      <c r="C454" s="99"/>
      <c r="D454" s="122"/>
      <c r="E454" s="100"/>
      <c r="F454" s="101"/>
    </row>
    <row r="455" spans="1:6" s="13" customFormat="1" x14ac:dyDescent="0.25">
      <c r="A455" s="121"/>
      <c r="B455" s="74"/>
      <c r="C455" s="99"/>
      <c r="D455" s="122"/>
      <c r="E455" s="100"/>
      <c r="F455" s="101"/>
    </row>
    <row r="456" spans="1:6" s="13" customFormat="1" x14ac:dyDescent="0.25">
      <c r="A456" s="263"/>
      <c r="B456" s="76"/>
      <c r="C456" s="102"/>
      <c r="D456" s="268"/>
      <c r="E456" s="103"/>
      <c r="F456" s="104"/>
    </row>
    <row r="457" spans="1:6" s="13" customFormat="1" ht="17.399999999999999" x14ac:dyDescent="0.25">
      <c r="A457" s="356" t="s">
        <v>115</v>
      </c>
      <c r="B457" s="106"/>
      <c r="C457" s="261"/>
      <c r="D457" s="274"/>
      <c r="E457" s="107"/>
      <c r="F457" s="108"/>
    </row>
    <row r="458" spans="1:6" s="13" customFormat="1" ht="15" x14ac:dyDescent="0.25">
      <c r="A458" s="350" t="s">
        <v>311</v>
      </c>
      <c r="B458" s="351" t="s">
        <v>312</v>
      </c>
      <c r="C458" s="345"/>
      <c r="D458" s="290" t="s">
        <v>297</v>
      </c>
      <c r="E458" s="348" t="s">
        <v>323</v>
      </c>
      <c r="F458" s="346"/>
    </row>
    <row r="459" spans="1:6" s="13" customFormat="1" x14ac:dyDescent="0.25">
      <c r="A459" s="124" t="s">
        <v>219</v>
      </c>
      <c r="B459" s="82"/>
      <c r="C459" s="257"/>
      <c r="D459" s="125"/>
      <c r="F459" s="109"/>
    </row>
    <row r="460" spans="1:6" s="13" customFormat="1" x14ac:dyDescent="0.25">
      <c r="A460" s="124" t="s">
        <v>228</v>
      </c>
      <c r="B460" s="82">
        <v>830</v>
      </c>
      <c r="C460" s="257" t="s">
        <v>234</v>
      </c>
      <c r="D460" s="125" t="s">
        <v>338</v>
      </c>
      <c r="E460" s="6" t="s">
        <v>235</v>
      </c>
      <c r="F460" s="109"/>
    </row>
    <row r="461" spans="1:6" s="13" customFormat="1" x14ac:dyDescent="0.25">
      <c r="A461" s="124" t="s">
        <v>229</v>
      </c>
      <c r="B461" s="82">
        <f>B460*1.4</f>
        <v>1162</v>
      </c>
      <c r="C461" s="257" t="s">
        <v>234</v>
      </c>
      <c r="D461" s="125"/>
      <c r="F461" s="109"/>
    </row>
    <row r="462" spans="1:6" s="13" customFormat="1" x14ac:dyDescent="0.25">
      <c r="A462" s="124"/>
      <c r="B462" s="82"/>
      <c r="C462" s="257"/>
      <c r="D462" s="125"/>
      <c r="F462" s="109"/>
    </row>
    <row r="463" spans="1:6" s="13" customFormat="1" x14ac:dyDescent="0.25">
      <c r="A463" s="124"/>
      <c r="B463" s="82"/>
      <c r="C463" s="257"/>
      <c r="D463" s="125"/>
      <c r="F463" s="109"/>
    </row>
    <row r="464" spans="1:6" s="13" customFormat="1" x14ac:dyDescent="0.25">
      <c r="A464" s="124" t="s">
        <v>230</v>
      </c>
      <c r="B464" s="82"/>
      <c r="C464" s="257" t="s">
        <v>234</v>
      </c>
      <c r="D464" s="125"/>
      <c r="F464" s="109"/>
    </row>
    <row r="465" spans="1:6" s="13" customFormat="1" x14ac:dyDescent="0.25">
      <c r="A465" s="124" t="s">
        <v>199</v>
      </c>
      <c r="B465" s="82">
        <v>0</v>
      </c>
      <c r="C465" s="257" t="s">
        <v>234</v>
      </c>
      <c r="D465" s="125"/>
      <c r="F465" s="109"/>
    </row>
    <row r="466" spans="1:6" s="13" customFormat="1" x14ac:dyDescent="0.25">
      <c r="A466" s="124" t="s">
        <v>201</v>
      </c>
      <c r="B466" s="82"/>
      <c r="C466" s="257" t="s">
        <v>234</v>
      </c>
      <c r="D466" s="125"/>
      <c r="F466" s="109"/>
    </row>
    <row r="467" spans="1:6" s="13" customFormat="1" x14ac:dyDescent="0.25">
      <c r="A467" s="124" t="s">
        <v>202</v>
      </c>
      <c r="B467" s="82"/>
      <c r="C467" s="257"/>
      <c r="D467" s="125"/>
      <c r="F467" s="109"/>
    </row>
    <row r="468" spans="1:6" s="13" customFormat="1" x14ac:dyDescent="0.25">
      <c r="A468" s="124"/>
      <c r="B468" s="82"/>
      <c r="C468" s="257"/>
      <c r="D468" s="125"/>
      <c r="F468" s="109"/>
    </row>
    <row r="469" spans="1:6" s="13" customFormat="1" x14ac:dyDescent="0.25">
      <c r="A469" s="124"/>
      <c r="B469" s="82"/>
      <c r="C469" s="257"/>
      <c r="D469" s="125"/>
      <c r="F469" s="109"/>
    </row>
    <row r="470" spans="1:6" s="13" customFormat="1" x14ac:dyDescent="0.25">
      <c r="A470" s="124" t="s">
        <v>218</v>
      </c>
      <c r="B470" s="82"/>
      <c r="C470" s="257"/>
      <c r="D470" s="125"/>
      <c r="F470" s="109"/>
    </row>
    <row r="471" spans="1:6" s="13" customFormat="1" x14ac:dyDescent="0.25">
      <c r="A471" s="124" t="s">
        <v>228</v>
      </c>
      <c r="B471" s="82">
        <f>250</f>
        <v>250</v>
      </c>
      <c r="C471" s="257" t="s">
        <v>118</v>
      </c>
      <c r="D471" s="125"/>
      <c r="F471" s="109"/>
    </row>
    <row r="472" spans="1:6" s="13" customFormat="1" x14ac:dyDescent="0.25">
      <c r="A472" s="124" t="s">
        <v>231</v>
      </c>
      <c r="B472" s="82">
        <f>B471*1.1</f>
        <v>275</v>
      </c>
      <c r="C472" s="257" t="s">
        <v>118</v>
      </c>
      <c r="D472" s="125"/>
      <c r="F472" s="109"/>
    </row>
    <row r="473" spans="1:6" s="13" customFormat="1" x14ac:dyDescent="0.25">
      <c r="A473" s="124"/>
      <c r="B473" s="82"/>
      <c r="C473" s="257"/>
      <c r="D473" s="125"/>
      <c r="F473" s="109"/>
    </row>
    <row r="474" spans="1:6" s="13" customFormat="1" x14ac:dyDescent="0.25">
      <c r="A474" s="124" t="s">
        <v>217</v>
      </c>
      <c r="B474" s="82">
        <v>300</v>
      </c>
      <c r="C474" s="257" t="s">
        <v>118</v>
      </c>
      <c r="D474" s="125"/>
      <c r="F474" s="109"/>
    </row>
    <row r="475" spans="1:6" s="13" customFormat="1" x14ac:dyDescent="0.25">
      <c r="A475" s="124" t="s">
        <v>199</v>
      </c>
      <c r="B475" s="82">
        <v>0</v>
      </c>
      <c r="C475" s="257" t="s">
        <v>118</v>
      </c>
      <c r="D475" s="125"/>
      <c r="F475" s="109"/>
    </row>
    <row r="476" spans="1:6" s="13" customFormat="1" x14ac:dyDescent="0.25">
      <c r="A476" s="124" t="s">
        <v>201</v>
      </c>
      <c r="B476" s="82"/>
      <c r="C476" s="257" t="s">
        <v>118</v>
      </c>
      <c r="D476" s="125"/>
      <c r="F476" s="109"/>
    </row>
    <row r="477" spans="1:6" s="13" customFormat="1" x14ac:dyDescent="0.25">
      <c r="A477" s="124" t="s">
        <v>202</v>
      </c>
      <c r="B477" s="82"/>
      <c r="C477" s="257"/>
      <c r="D477" s="125"/>
      <c r="F477" s="109"/>
    </row>
    <row r="478" spans="1:6" s="13" customFormat="1" x14ac:dyDescent="0.25">
      <c r="A478" s="124"/>
      <c r="B478" s="82"/>
      <c r="C478" s="257"/>
      <c r="D478" s="125"/>
      <c r="F478" s="109"/>
    </row>
    <row r="479" spans="1:6" s="13" customFormat="1" x14ac:dyDescent="0.25">
      <c r="A479" s="127"/>
      <c r="B479" s="87"/>
      <c r="C479" s="260"/>
      <c r="D479" s="128"/>
      <c r="E479" s="110"/>
      <c r="F479" s="111"/>
    </row>
    <row r="480" spans="1:6" s="13" customFormat="1" ht="13.5" customHeight="1" x14ac:dyDescent="0.25">
      <c r="A480" s="67"/>
      <c r="B480" s="67"/>
      <c r="C480" s="257"/>
    </row>
    <row r="481" spans="1:6" s="13" customFormat="1" ht="14.25" customHeight="1" x14ac:dyDescent="0.25">
      <c r="A481" s="67"/>
      <c r="B481" s="67"/>
      <c r="C481" s="257"/>
    </row>
    <row r="482" spans="1:6" s="13" customFormat="1" ht="20.399999999999999" x14ac:dyDescent="0.25">
      <c r="A482" s="369" t="s">
        <v>257</v>
      </c>
      <c r="B482" s="112"/>
      <c r="C482" s="370"/>
      <c r="D482" s="341"/>
      <c r="E482" s="105"/>
      <c r="F482" s="113"/>
    </row>
    <row r="483" spans="1:6" s="13" customFormat="1" ht="27.6" x14ac:dyDescent="0.25">
      <c r="A483" s="124" t="s">
        <v>258</v>
      </c>
      <c r="B483" s="67" t="s">
        <v>264</v>
      </c>
      <c r="C483" s="257"/>
      <c r="D483" s="125"/>
      <c r="F483" s="109"/>
    </row>
    <row r="484" spans="1:6" s="13" customFormat="1" ht="27.6" x14ac:dyDescent="0.25">
      <c r="A484" s="124" t="s">
        <v>259</v>
      </c>
      <c r="B484" s="67" t="s">
        <v>265</v>
      </c>
      <c r="C484" s="257"/>
      <c r="D484" s="125"/>
      <c r="F484" s="109"/>
    </row>
    <row r="485" spans="1:6" s="13" customFormat="1" x14ac:dyDescent="0.25">
      <c r="A485" s="124"/>
      <c r="B485" s="67"/>
      <c r="C485" s="257"/>
      <c r="D485" s="125"/>
      <c r="F485" s="109"/>
    </row>
    <row r="486" spans="1:6" s="13" customFormat="1" ht="27.6" x14ac:dyDescent="0.25">
      <c r="A486" s="124" t="s">
        <v>260</v>
      </c>
      <c r="B486" s="67" t="s">
        <v>264</v>
      </c>
      <c r="C486" s="257"/>
      <c r="D486" s="125"/>
      <c r="F486" s="109"/>
    </row>
    <row r="487" spans="1:6" s="13" customFormat="1" ht="27.6" x14ac:dyDescent="0.25">
      <c r="A487" s="124" t="s">
        <v>261</v>
      </c>
      <c r="B487" s="67" t="s">
        <v>265</v>
      </c>
      <c r="C487" s="257"/>
      <c r="D487" s="125"/>
      <c r="F487" s="109"/>
    </row>
    <row r="488" spans="1:6" s="13" customFormat="1" x14ac:dyDescent="0.25">
      <c r="A488" s="124"/>
      <c r="B488" s="67"/>
      <c r="C488" s="257"/>
      <c r="D488" s="125"/>
      <c r="F488" s="109"/>
    </row>
    <row r="489" spans="1:6" s="13" customFormat="1" ht="27.6" x14ac:dyDescent="0.25">
      <c r="A489" s="124" t="s">
        <v>262</v>
      </c>
      <c r="B489" s="67" t="s">
        <v>264</v>
      </c>
      <c r="C489" s="257"/>
      <c r="D489" s="125"/>
      <c r="F489" s="109"/>
    </row>
    <row r="490" spans="1:6" s="13" customFormat="1" ht="27.6" x14ac:dyDescent="0.25">
      <c r="A490" s="124" t="s">
        <v>263</v>
      </c>
      <c r="B490" s="67" t="s">
        <v>265</v>
      </c>
      <c r="C490" s="257"/>
      <c r="D490" s="125"/>
      <c r="F490" s="109"/>
    </row>
    <row r="491" spans="1:6" s="13" customFormat="1" ht="18.75" customHeight="1" x14ac:dyDescent="0.25">
      <c r="A491" s="127"/>
      <c r="B491" s="77"/>
      <c r="C491" s="260"/>
      <c r="D491" s="128"/>
      <c r="E491" s="110"/>
      <c r="F491" s="111"/>
    </row>
    <row r="492" spans="1:6" s="13" customFormat="1" hidden="1" x14ac:dyDescent="0.25">
      <c r="A492" s="67"/>
      <c r="B492" s="67"/>
      <c r="C492" s="118"/>
    </row>
    <row r="493" spans="1:6" s="13" customFormat="1" hidden="1" x14ac:dyDescent="0.25">
      <c r="A493" s="67"/>
      <c r="B493" s="67"/>
      <c r="C493" s="118"/>
    </row>
    <row r="494" spans="1:6" s="13" customFormat="1" hidden="1" x14ac:dyDescent="0.25">
      <c r="A494" s="67"/>
      <c r="B494" s="67"/>
      <c r="C494" s="118"/>
    </row>
    <row r="495" spans="1:6" s="13" customFormat="1" hidden="1" x14ac:dyDescent="0.25">
      <c r="A495" s="67"/>
      <c r="B495" s="67"/>
      <c r="C495" s="118"/>
    </row>
    <row r="496" spans="1:6" s="13" customFormat="1" hidden="1" x14ac:dyDescent="0.25">
      <c r="A496" s="67"/>
      <c r="B496" s="67"/>
      <c r="C496" s="67"/>
    </row>
    <row r="497" spans="1:10" hidden="1" x14ac:dyDescent="0.25">
      <c r="A497" s="67"/>
      <c r="B497" s="67"/>
      <c r="C497" s="67"/>
      <c r="D497" s="13"/>
      <c r="E497" s="13"/>
      <c r="F497" s="13"/>
      <c r="G497" s="13"/>
      <c r="H497" s="13"/>
      <c r="I497" s="13"/>
      <c r="J497" s="13"/>
    </row>
    <row r="498" spans="1:10" ht="11.1" hidden="1" customHeight="1" x14ac:dyDescent="0.25">
      <c r="A498" s="129" t="s">
        <v>88</v>
      </c>
      <c r="B498" s="130"/>
      <c r="C498" s="130"/>
      <c r="D498" s="131"/>
      <c r="E498" s="131"/>
      <c r="F498" s="131"/>
      <c r="G498" s="131"/>
      <c r="H498" s="131"/>
      <c r="I498" s="131"/>
      <c r="J498" s="131"/>
    </row>
    <row r="499" spans="1:10" ht="27" customHeight="1" x14ac:dyDescent="0.25">
      <c r="A499" s="67" t="s">
        <v>89</v>
      </c>
      <c r="B499" s="67" t="s">
        <v>87</v>
      </c>
      <c r="C499" s="67"/>
      <c r="D499" s="13"/>
      <c r="E499" s="13"/>
      <c r="F499" s="13"/>
      <c r="G499" s="13"/>
      <c r="H499" s="13"/>
      <c r="I499" s="13"/>
      <c r="J499" s="13"/>
    </row>
    <row r="500" spans="1:10" ht="27.6" x14ac:dyDescent="0.25">
      <c r="A500" s="67"/>
      <c r="B500" s="67" t="s">
        <v>104</v>
      </c>
      <c r="C500" s="67" t="s">
        <v>90</v>
      </c>
      <c r="D500" s="13"/>
      <c r="E500" s="13"/>
      <c r="F500" s="13"/>
      <c r="G500" s="13"/>
      <c r="H500" s="13"/>
      <c r="I500" s="13"/>
      <c r="J500" s="13"/>
    </row>
    <row r="501" spans="1:10" x14ac:dyDescent="0.25">
      <c r="A501" s="67"/>
      <c r="B501" s="67"/>
      <c r="C501" s="67"/>
      <c r="D501" s="13"/>
      <c r="E501" s="13"/>
      <c r="F501" s="13"/>
      <c r="G501" s="13"/>
      <c r="H501" s="13"/>
      <c r="I501" s="13"/>
      <c r="J501" s="13"/>
    </row>
    <row r="502" spans="1:10" ht="18.75" customHeight="1" x14ac:dyDescent="0.25">
      <c r="A502" s="67"/>
      <c r="B502" s="67" t="s">
        <v>366</v>
      </c>
      <c r="C502" s="67"/>
      <c r="D502" s="13"/>
      <c r="E502" s="13"/>
      <c r="F502" s="13"/>
      <c r="G502" s="13"/>
      <c r="H502" s="13"/>
      <c r="I502" s="13"/>
      <c r="J502" s="13"/>
    </row>
    <row r="503" spans="1:10" ht="15" customHeight="1" x14ac:dyDescent="0.25">
      <c r="A503" s="67"/>
      <c r="B503" s="67"/>
      <c r="C503" s="67"/>
      <c r="D503" s="13"/>
      <c r="E503" s="13"/>
      <c r="F503" s="13"/>
      <c r="G503" s="13"/>
      <c r="H503" s="13"/>
      <c r="I503" s="13"/>
      <c r="J503" s="13"/>
    </row>
    <row r="504" spans="1:10" ht="17.25" customHeight="1" x14ac:dyDescent="0.25">
      <c r="A504" s="67"/>
      <c r="B504" s="67"/>
      <c r="C504" s="67"/>
      <c r="D504" s="13"/>
      <c r="E504" s="13"/>
      <c r="F504" s="13"/>
      <c r="G504" s="13"/>
      <c r="H504" s="13"/>
      <c r="I504" s="13"/>
      <c r="J504" s="13"/>
    </row>
    <row r="505" spans="1:10" ht="28.5" customHeight="1" x14ac:dyDescent="0.25">
      <c r="A505" s="67"/>
      <c r="B505" s="67"/>
      <c r="C505" s="67"/>
      <c r="D505" s="13"/>
      <c r="E505" s="13"/>
      <c r="F505" s="13"/>
      <c r="G505" s="13"/>
      <c r="H505" s="13"/>
      <c r="I505" s="13"/>
      <c r="J505" s="13"/>
    </row>
    <row r="506" spans="1:10" ht="26.25" customHeight="1" x14ac:dyDescent="0.25">
      <c r="A506" s="67"/>
      <c r="B506" s="67"/>
      <c r="C506" s="67"/>
      <c r="D506" s="13"/>
      <c r="E506" s="13"/>
      <c r="F506" s="13"/>
      <c r="G506" s="13"/>
      <c r="H506" s="13"/>
      <c r="I506" s="13"/>
      <c r="J506" s="13"/>
    </row>
    <row r="507" spans="1:10" ht="18.75" customHeight="1" x14ac:dyDescent="0.25">
      <c r="A507" s="67"/>
      <c r="B507" s="67"/>
      <c r="C507" s="67"/>
      <c r="D507" s="13"/>
      <c r="E507" s="13"/>
      <c r="F507" s="13"/>
      <c r="G507" s="13"/>
      <c r="H507" s="13"/>
      <c r="I507" s="13"/>
      <c r="J507" s="13"/>
    </row>
    <row r="508" spans="1:10" ht="31.5" customHeight="1" x14ac:dyDescent="0.25">
      <c r="A508" s="67"/>
      <c r="B508" s="67"/>
      <c r="C508" s="67"/>
      <c r="D508" s="13"/>
      <c r="E508" s="13"/>
      <c r="F508" s="13"/>
      <c r="G508" s="13"/>
      <c r="H508" s="13"/>
      <c r="I508" s="13"/>
      <c r="J508" s="13"/>
    </row>
    <row r="509" spans="1:10" ht="27.75" customHeight="1" x14ac:dyDescent="0.25">
      <c r="A509" s="67"/>
      <c r="B509" s="67"/>
      <c r="C509" s="67"/>
      <c r="D509" s="13"/>
      <c r="E509" s="13"/>
      <c r="F509" s="13"/>
      <c r="G509" s="13"/>
      <c r="H509" s="13"/>
      <c r="I509" s="13"/>
      <c r="J509" s="13"/>
    </row>
    <row r="510" spans="1:10" ht="30.75" customHeight="1" x14ac:dyDescent="0.25">
      <c r="A510" s="67"/>
      <c r="B510" s="67"/>
      <c r="C510" s="67"/>
      <c r="D510" s="13"/>
      <c r="E510" s="13"/>
      <c r="F510" s="13"/>
      <c r="G510" s="13"/>
      <c r="H510" s="13"/>
      <c r="I510" s="13"/>
      <c r="J510" s="13"/>
    </row>
    <row r="511" spans="1:10" ht="27.75" customHeight="1" x14ac:dyDescent="0.25">
      <c r="A511" s="67"/>
      <c r="B511" s="67"/>
      <c r="C511" s="67"/>
      <c r="D511" s="13"/>
      <c r="E511" s="13"/>
      <c r="F511" s="13"/>
      <c r="G511" s="13"/>
      <c r="H511" s="13"/>
      <c r="I511" s="13"/>
      <c r="J511" s="13"/>
    </row>
    <row r="512" spans="1:10" ht="28.5" customHeight="1" x14ac:dyDescent="0.25">
      <c r="A512" s="67"/>
      <c r="B512" s="67"/>
      <c r="C512" s="67"/>
      <c r="D512" s="13"/>
      <c r="E512" s="13"/>
      <c r="F512" s="13"/>
      <c r="G512" s="13"/>
      <c r="H512" s="13"/>
      <c r="I512" s="13"/>
      <c r="J512" s="13"/>
    </row>
    <row r="513" spans="1:10" ht="27.75" customHeight="1" x14ac:dyDescent="0.25">
      <c r="A513" s="67"/>
      <c r="B513" s="67"/>
      <c r="C513" s="67"/>
      <c r="D513" s="13"/>
      <c r="E513" s="13"/>
      <c r="F513" s="13"/>
      <c r="G513" s="13"/>
      <c r="H513" s="13"/>
      <c r="I513" s="13"/>
      <c r="J513" s="13"/>
    </row>
    <row r="514" spans="1:10" ht="28.5" customHeight="1" x14ac:dyDescent="0.25">
      <c r="A514" s="132" t="s">
        <v>133</v>
      </c>
      <c r="B514" s="130"/>
      <c r="C514" s="130"/>
      <c r="D514" s="131"/>
      <c r="E514" s="131"/>
      <c r="F514" s="131"/>
      <c r="G514" s="131"/>
      <c r="H514" s="131"/>
      <c r="I514" s="131"/>
      <c r="J514" s="131"/>
    </row>
    <row r="515" spans="1:10" ht="25.5" customHeight="1" x14ac:dyDescent="0.25"/>
    <row r="516" spans="1:10" ht="87" customHeight="1" x14ac:dyDescent="0.25">
      <c r="A516" s="133" t="s">
        <v>135</v>
      </c>
      <c r="B516" s="133" t="s">
        <v>134</v>
      </c>
      <c r="C516" s="134">
        <v>30000</v>
      </c>
    </row>
  </sheetData>
  <mergeCells count="1">
    <mergeCell ref="E232:E235"/>
  </mergeCells>
  <phoneticPr fontId="8" type="noConversion"/>
  <hyperlinks>
    <hyperlink ref="G140" r:id="rId1" xr:uid="{00000000-0004-0000-0900-000000000000}"/>
    <hyperlink ref="D330" r:id="rId2" xr:uid="{00000000-0004-0000-0900-000001000000}"/>
    <hyperlink ref="E229" r:id="rId3" xr:uid="{38991148-04F3-41FB-BDD2-204323CD2649}"/>
    <hyperlink ref="E432" r:id="rId4" xr:uid="{95B858ED-31B6-48C8-AD0F-34F77EB09085}"/>
    <hyperlink ref="E436" r:id="rId5" xr:uid="{17B6B969-EAD8-4DA0-9090-9306725A497B}"/>
    <hyperlink ref="E433" r:id="rId6" xr:uid="{05B39775-3354-41C4-BEDD-22D86B6129C1}"/>
    <hyperlink ref="E434" r:id="rId7" xr:uid="{15E0EEA4-9DFD-4AB6-A370-86CD54ABB3DA}"/>
    <hyperlink ref="E435" r:id="rId8" xr:uid="{355C9368-BF46-43A6-8A53-0C712D40977D}"/>
    <hyperlink ref="D326" r:id="rId9" xr:uid="{A2FBAA23-9E68-4774-991B-2BF780BF8515}"/>
  </hyperlinks>
  <pageMargins left="0.7" right="0.7" top="0.75" bottom="0.75" header="0.3" footer="0.3"/>
  <pageSetup paperSize="9" orientation="portrait" r:id="rId10"/>
  <drawing r:id="rId11"/>
  <legacyDrawing r:id="rId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4">
    <tabColor theme="0"/>
  </sheetPr>
  <dimension ref="A2:AE25"/>
  <sheetViews>
    <sheetView zoomScale="85" zoomScaleNormal="85" workbookViewId="0">
      <selection activeCell="I15" sqref="I15"/>
    </sheetView>
  </sheetViews>
  <sheetFormatPr defaultColWidth="9.109375" defaultRowHeight="13.8" x14ac:dyDescent="0.25"/>
  <cols>
    <col min="1" max="1" width="9.109375" style="6"/>
    <col min="2" max="2" width="21.109375" style="6" customWidth="1"/>
    <col min="3" max="3" width="26.44140625" style="6" customWidth="1"/>
    <col min="4" max="4" width="25.33203125" style="6" customWidth="1"/>
    <col min="5" max="5" width="20.88671875" style="6" customWidth="1"/>
    <col min="6" max="7" width="18" style="6" bestFit="1" customWidth="1"/>
    <col min="8" max="8" width="16.5546875" style="6" customWidth="1"/>
    <col min="9" max="9" width="31" style="6" customWidth="1"/>
    <col min="10" max="10" width="20.5546875" style="6" customWidth="1"/>
    <col min="11" max="11" width="15.88671875" style="6" customWidth="1"/>
    <col min="12" max="12" width="2.6640625" style="6" customWidth="1"/>
    <col min="13" max="13" width="22.44140625" style="6" bestFit="1" customWidth="1"/>
    <col min="14" max="14" width="25.33203125" style="6" customWidth="1"/>
    <col min="15" max="16" width="18" style="6" bestFit="1" customWidth="1"/>
    <col min="17" max="17" width="13.5546875" style="6" customWidth="1"/>
    <col min="18" max="18" width="28.6640625" style="6" customWidth="1"/>
    <col min="19" max="19" width="35.44140625" style="6" customWidth="1"/>
    <col min="20" max="20" width="23" style="6" customWidth="1"/>
    <col min="21" max="21" width="16.109375" style="6" customWidth="1"/>
    <col min="22" max="22" width="16.5546875" style="6" bestFit="1" customWidth="1"/>
    <col min="23" max="23" width="22.88671875" style="6" customWidth="1"/>
    <col min="24" max="24" width="20.88671875" style="6" customWidth="1"/>
    <col min="25" max="25" width="18" style="6" bestFit="1" customWidth="1"/>
    <col min="26" max="26" width="18" style="6" customWidth="1"/>
    <col min="27" max="27" width="26.5546875" style="6" customWidth="1"/>
    <col min="28" max="28" width="19.6640625" style="6" customWidth="1"/>
    <col min="29" max="29" width="31.88671875" style="6" customWidth="1"/>
    <col min="30" max="30" width="21.33203125" style="6" customWidth="1"/>
    <col min="31" max="31" width="10.6640625" style="6" customWidth="1"/>
    <col min="32" max="16384" width="9.109375" style="6"/>
  </cols>
  <sheetData>
    <row r="2" spans="1:31" ht="0.9" customHeight="1" x14ac:dyDescent="0.25"/>
    <row r="3" spans="1:31" ht="36" hidden="1" customHeight="1" x14ac:dyDescent="0.25">
      <c r="A3" s="586" t="s">
        <v>292</v>
      </c>
      <c r="D3" s="580" t="s">
        <v>30</v>
      </c>
      <c r="E3" s="581"/>
      <c r="F3" s="581"/>
      <c r="G3" s="581"/>
      <c r="H3" s="581"/>
      <c r="I3" s="581"/>
      <c r="J3" s="581"/>
      <c r="K3" s="582"/>
      <c r="L3" s="10"/>
      <c r="M3" s="580" t="s">
        <v>27</v>
      </c>
      <c r="N3" s="581"/>
      <c r="O3" s="581"/>
      <c r="P3" s="581"/>
      <c r="Q3" s="581"/>
      <c r="R3" s="581"/>
      <c r="S3" s="581"/>
      <c r="T3" s="582"/>
      <c r="U3" s="10"/>
      <c r="V3" s="580" t="s">
        <v>0</v>
      </c>
      <c r="W3" s="581"/>
      <c r="X3" s="581"/>
      <c r="Y3" s="581"/>
      <c r="Z3" s="581"/>
      <c r="AA3" s="581"/>
      <c r="AB3" s="581"/>
      <c r="AC3" s="582"/>
    </row>
    <row r="4" spans="1:31" ht="44.1" hidden="1" customHeight="1" x14ac:dyDescent="0.35">
      <c r="A4" s="586"/>
      <c r="C4" s="135" t="s">
        <v>113</v>
      </c>
      <c r="D4" s="377" t="s">
        <v>39</v>
      </c>
      <c r="E4" s="378" t="s">
        <v>43</v>
      </c>
      <c r="F4" s="378" t="s">
        <v>86</v>
      </c>
      <c r="G4" s="378" t="s">
        <v>42</v>
      </c>
      <c r="H4" s="379" t="s">
        <v>106</v>
      </c>
      <c r="I4" s="379" t="s">
        <v>107</v>
      </c>
      <c r="J4" s="379" t="s">
        <v>101</v>
      </c>
      <c r="K4" s="380" t="s">
        <v>67</v>
      </c>
      <c r="L4" s="16"/>
      <c r="M4" s="377" t="s">
        <v>39</v>
      </c>
      <c r="N4" s="378" t="s">
        <v>43</v>
      </c>
      <c r="O4" s="378" t="s">
        <v>86</v>
      </c>
      <c r="P4" s="379" t="s">
        <v>42</v>
      </c>
      <c r="Q4" s="379" t="s">
        <v>106</v>
      </c>
      <c r="R4" s="379" t="s">
        <v>111</v>
      </c>
      <c r="S4" s="379" t="s">
        <v>101</v>
      </c>
      <c r="T4" s="380" t="s">
        <v>67</v>
      </c>
      <c r="U4" s="16"/>
      <c r="V4" s="377" t="s">
        <v>39</v>
      </c>
      <c r="W4" s="378" t="s">
        <v>43</v>
      </c>
      <c r="X4" s="378" t="s">
        <v>86</v>
      </c>
      <c r="Y4" s="378" t="s">
        <v>42</v>
      </c>
      <c r="Z4" s="379" t="s">
        <v>106</v>
      </c>
      <c r="AA4" s="379" t="s">
        <v>111</v>
      </c>
      <c r="AB4" s="379" t="s">
        <v>101</v>
      </c>
      <c r="AC4" s="380" t="s">
        <v>67</v>
      </c>
    </row>
    <row r="5" spans="1:31" ht="21" hidden="1" x14ac:dyDescent="0.35">
      <c r="A5" s="586"/>
      <c r="C5" s="138"/>
      <c r="D5" s="136"/>
      <c r="E5" s="16"/>
      <c r="F5" s="16"/>
      <c r="G5" s="16" t="s">
        <v>71</v>
      </c>
      <c r="H5" s="16"/>
      <c r="I5" s="16"/>
      <c r="J5" s="16"/>
      <c r="K5" s="137" t="s">
        <v>5</v>
      </c>
      <c r="L5" s="16"/>
      <c r="M5" s="136"/>
      <c r="N5" s="16"/>
      <c r="O5" s="16"/>
      <c r="P5" s="93" t="s">
        <v>72</v>
      </c>
      <c r="Q5" s="16"/>
      <c r="R5" s="16"/>
      <c r="S5" s="16"/>
      <c r="T5" s="137" t="s">
        <v>5</v>
      </c>
      <c r="U5" s="16"/>
      <c r="V5" s="136"/>
      <c r="W5" s="16"/>
      <c r="X5" s="16"/>
      <c r="Y5" s="93" t="s">
        <v>72</v>
      </c>
      <c r="Z5" s="16"/>
      <c r="AA5" s="16"/>
      <c r="AB5" s="16"/>
      <c r="AC5" s="137" t="s">
        <v>5</v>
      </c>
    </row>
    <row r="6" spans="1:31" ht="82.8" hidden="1" x14ac:dyDescent="0.25">
      <c r="A6" s="586"/>
      <c r="C6" s="139" t="s">
        <v>97</v>
      </c>
      <c r="D6" s="140" t="s">
        <v>286</v>
      </c>
      <c r="E6" s="10" t="e" cm="1">
        <f t="array" ref="E6">_xlfn.IFS(AND(#REF!=Argumenter!C131),Argumenter!B499,AND(#REF!=Argumenter!D131),Argumenter!B499,AND(#REF!=Argumenter!C132),Argumenter!B500,AND(#REF!=Argumenter!C133),Argumenter!B500)</f>
        <v>#REF!</v>
      </c>
      <c r="F6" s="10" t="e" cm="1">
        <f t="array" ref="F6">(_xlfn.IFS(AND(E6=Argumenter!B499),C6,AND(E6=Argumenter!B500),"-"))</f>
        <v>#REF!</v>
      </c>
      <c r="G6" s="141" t="e" cm="1">
        <f t="array" ref="G6">(_xlfn.IFS(AND(E6=Argumenter!B499),Materialeoutput!I9*Argumenter!C205,AND(E6=Argumenter!B500),"-"))</f>
        <v>#REF!</v>
      </c>
      <c r="H6" s="142" t="e" cm="1">
        <f t="array" ref="H6">(_xlfn.IFS(AND(E6=Argumenter!B499),_xlfn.CONCAT(Argumenter!C205*100,"-",Argumenter!D205*100),AND(E6=Argumenter!B500),"-"))</f>
        <v>#REF!</v>
      </c>
      <c r="I6" s="143" t="s">
        <v>136</v>
      </c>
      <c r="J6" s="144" t="e" cm="1">
        <f t="array" ref="J6">(_xlfn.IFS(AND(E6=Argumenter!B499),Argumenter!C247*100,AND(E6=Argumenter!B500),"-"))</f>
        <v>#REF!</v>
      </c>
      <c r="K6" s="145" t="e" cm="1">
        <f t="array" ref="K6">(_xlfn.IFS(AND(E6=Argumenter!B499),Materialeoutput!F9*Argumenter!C285,AND(E6=Argumenter!B500),"-"))</f>
        <v>#REF!</v>
      </c>
      <c r="M6" s="146" t="s">
        <v>287</v>
      </c>
      <c r="N6" s="10" t="e" cm="1">
        <f t="array" ref="N6">_xlfn.IFS(AND(#REF!&gt;=Argumenter!C140,#REF!&gt;=Argumenter!C147),Argumenter!B499,AND(#REF!&gt;=Argumenter!C140,#REF!&lt;=Argumenter!C147),Argumenter!B500,AND(#REF!&lt;=Argumenter!C140,#REF!&gt;=Argumenter!C147),Argumenter!B500,AND(#REF!&lt;Argumenter!C140,#REF!&lt;=Argumenter!C147),Argumenter!B500)</f>
        <v>#REF!</v>
      </c>
      <c r="O6" s="10" t="e" cm="1">
        <f t="array" ref="O6">(_xlfn.IFS(AND(N6=Argumenter!B499),C6,AND(N6=Argumenter!B500),"-"))</f>
        <v>#REF!</v>
      </c>
      <c r="P6" s="141" t="e" cm="1">
        <f t="array" ref="P6">(_xlfn.IFS(AND(N6=Argumenter!B499),Materialeoutput!I11*Argumenter!C209,AND(N6=Argumenter!B500),"-"))</f>
        <v>#REF!</v>
      </c>
      <c r="Q6" s="144" t="e" cm="1">
        <f t="array" ref="Q6">(_xlfn.IFS(AND(N6=Argumenter!B499),_xlfn.CONCAT(Argumenter!C209*100,"-",Argumenter!D209*100),AND(N6=Argumenter!B500),"-"))</f>
        <v>#REF!</v>
      </c>
      <c r="R6" s="143" t="e" cm="1">
        <f t="array" ref="R6">(_xlfn.IFS(AND(N6=Argumenter!B499),"CO2 besparelse er projektafhængig og kan variere baseret på proces for nedtagning samt oparbejdning af materiale. ",AND(N6=Argumenter!B500),"-"))</f>
        <v>#REF!</v>
      </c>
      <c r="S6" s="144" t="e" cm="1">
        <f t="array" ref="S6">(_xlfn.IFS(AND(N6=Argumenter!B499),Argumenter!C251*100,AND(N6=Argumenter!B500),"-"))</f>
        <v>#REF!</v>
      </c>
      <c r="T6" s="145" t="e" cm="1">
        <f t="array" ref="T6">(_xlfn.IFS(AND(N6=Argumenter!B499),Materialeoutput!F11*Argumenter!C290,AND(N6=Argumenter!B500),"-"))</f>
        <v>#REF!</v>
      </c>
      <c r="V6" s="140" t="s">
        <v>288</v>
      </c>
      <c r="W6" s="11" t="e">
        <f>IF(AND(#REF!=Argumenter!C156),Argumenter!B499,Argumenter!B500)</f>
        <v>#REF!</v>
      </c>
      <c r="X6" s="10" t="e" cm="1">
        <f t="array" ref="X6">(_xlfn.IFS(AND(W6=Argumenter!B499),C6,AND(W6=Argumenter!B500),"-"))</f>
        <v>#REF!</v>
      </c>
      <c r="Y6" s="10" t="e" cm="1">
        <f t="array" ref="Y6">(_xlfn.IFS(AND(W6=Argumenter!B499),Materialeoutput!E13*0.5,AND(W6=Argumenter!B500),"-"))</f>
        <v>#REF!</v>
      </c>
      <c r="Z6" s="144" t="e" cm="1">
        <f t="array" ref="Z6">(_xlfn.IFS(AND(W6=Argumenter!B499),_xlfn.CONCAT(Argumenter!C214*100,"-",Argumenter!D214*100),AND(W6=Argumenter!B500),"-"))</f>
        <v>#REF!</v>
      </c>
      <c r="AA6" s="143" t="s">
        <v>136</v>
      </c>
      <c r="AB6" s="144" t="e" cm="1">
        <f t="array" ref="AB6">(_xlfn.IFS(AND(W6=Argumenter!B499),Argumenter!C256*100,AND(W6=Argumenter!B500),"-"))</f>
        <v>#REF!</v>
      </c>
      <c r="AC6" s="145" t="e" cm="1">
        <f t="array" ref="AC6">(_xlfn.IFS(AND(W6=Argumenter!B499),#REF!*Argumenter!C295,AND(W6=Argumenter!B500),"-"))</f>
        <v>#REF!</v>
      </c>
    </row>
    <row r="7" spans="1:31" ht="112.5" hidden="1" customHeight="1" x14ac:dyDescent="0.25">
      <c r="A7" s="586"/>
      <c r="C7" s="139" t="s">
        <v>98</v>
      </c>
      <c r="D7" s="140" t="s">
        <v>65</v>
      </c>
      <c r="E7" s="10" t="e" cm="1">
        <f t="array" ref="E7">_xlfn.IFS(AND(#REF!=Argumenter!C131),Argumenter!B500,AND(#REF!=Argumenter!D131),Argumenter!B500,AND(#REF!=Argumenter!C132),Argumenter!B499,AND(#REF!=Argumenter!C133),Argumenter!B500)</f>
        <v>#REF!</v>
      </c>
      <c r="F7" s="10" t="e" cm="1">
        <f t="array" ref="F7">(_xlfn.IFS(AND(E7=Argumenter!B499),C7,AND(E7=Argumenter!B500),"-"))</f>
        <v>#REF!</v>
      </c>
      <c r="G7" s="141" t="e" cm="1">
        <f t="array" ref="G7">(_xlfn.IFS(AND(E7=Argumenter!B499),Materialeoutput!I9*Argumenter!C206,AND(E7=Argumenter!B500),"-"))</f>
        <v>#REF!</v>
      </c>
      <c r="H7" s="142" t="e" cm="1">
        <f t="array" ref="H7">(_xlfn.IFS(AND(E7=Argumenter!B499),_xlfn.CONCAT(Argumenter!C206*100,"-",Argumenter!D206*100),AND(E7=Argumenter!B500),"-"))</f>
        <v>#REF!</v>
      </c>
      <c r="I7" s="143" t="s">
        <v>136</v>
      </c>
      <c r="J7" s="144" t="e" cm="1">
        <f t="array" ref="J7">(_xlfn.IFS(AND(E7=Argumenter!B499),Argumenter!C248*100,AND(E7=Argumenter!B500),"-"))</f>
        <v>#REF!</v>
      </c>
      <c r="K7" s="145" t="e" cm="1">
        <f t="array" ref="K7">(_xlfn.IFS(AND(E7=Argumenter!B499),Materialeoutput!F9*Argumenter!C286,AND(E7=Argumenter!B500),"-"))</f>
        <v>#REF!</v>
      </c>
      <c r="M7" s="146" t="s">
        <v>40</v>
      </c>
      <c r="N7" s="10" t="e" cm="1">
        <f t="array" ref="N7">_xlfn.IFS(AND(#REF!&gt;Argumenter!C141,#REF!&gt;=Argumenter!C148),Argumenter!B499,AND(#REF!&gt;=Argumenter!C141,#REF!&lt;=Argumenter!C148),Argumenter!B500,AND(#REF!&lt;Argumenter!C141,#REF!&gt;=Argumenter!C148),Argumenter!B500,AND(#REF!&lt;=Argumenter!C141,#REF!&lt;=Argumenter!C148),Argumenter!B500)</f>
        <v>#REF!</v>
      </c>
      <c r="O7" s="10" t="e" cm="1">
        <f t="array" ref="O7">(_xlfn.IFS(AND(N7=Argumenter!B499),C7,AND(N7=Argumenter!B500),"-"))</f>
        <v>#REF!</v>
      </c>
      <c r="P7" s="141" t="e" cm="1">
        <f t="array" ref="P7">(_xlfn.IFS(AND(N7=Argumenter!B499),Materialeoutput!I11*Argumenter!C210,AND(N7=Argumenter!B500),"-"))</f>
        <v>#REF!</v>
      </c>
      <c r="Q7" s="144" t="e" cm="1">
        <f t="array" ref="Q7">(_xlfn.IFS(AND(N7=Argumenter!B499),_xlfn.CONCAT(Argumenter!C210*100,"-",Argumenter!D210*100),AND(N7=Argumenter!B500),"-"))</f>
        <v>#REF!</v>
      </c>
      <c r="R7" s="143" t="s">
        <v>136</v>
      </c>
      <c r="S7" s="144" t="e" cm="1">
        <f t="array" ref="S7">(_xlfn.IFS(AND(N7=Argumenter!B499),Argumenter!C252*100,AND(N7=Argumenter!B500),"-"))</f>
        <v>#REF!</v>
      </c>
      <c r="T7" s="145" t="e" cm="1">
        <f t="array" ref="T7">(_xlfn.IFS(AND(N7=Argumenter!B499),Materialeoutput!F11*Argumenter!C291,AND(N7=Argumenter!B500),"-"))</f>
        <v>#REF!</v>
      </c>
      <c r="V7" s="140" t="s">
        <v>103</v>
      </c>
      <c r="W7" s="10" t="e">
        <f>IF(AND(#REF!=Argumenter!C156),Argumenter!B500,Argumenter!B499)</f>
        <v>#REF!</v>
      </c>
      <c r="X7" s="10" t="e" cm="1">
        <f t="array" ref="X7">(_xlfn.IFS(AND(W7=Argumenter!B499),C7,AND(W7=Argumenter!B500),"-"))</f>
        <v>#REF!</v>
      </c>
      <c r="Y7" s="10" t="e" cm="1">
        <f t="array" ref="Y7">(_xlfn.IFS(AND(W7=Argumenter!B499),(Materialeoutput!I13+Materialeoutput!I14)*Argumenter!C215,AND(W7=Argumenter!B500),"-"))</f>
        <v>#REF!</v>
      </c>
      <c r="Z7" s="144" t="e" cm="1">
        <f t="array" ref="Z7">(_xlfn.IFS(AND(W7=Argumenter!B499),_xlfn.CONCAT(Argumenter!C215*100,"-",Argumenter!D215*100),AND(W7=Argumenter!B500),"-"))</f>
        <v>#REF!</v>
      </c>
      <c r="AA7" s="143" t="s">
        <v>136</v>
      </c>
      <c r="AB7" s="144" t="e" cm="1">
        <f t="array" ref="AB7">(_xlfn.IFS(AND(W7=Argumenter!B499),Argumenter!C257*100,AND(W7=Argumenter!B500),"-"))</f>
        <v>#REF!</v>
      </c>
      <c r="AC7" s="145" t="e" cm="1">
        <f t="array" ref="AC7">(_xlfn.IFS(AND(W7=Argumenter!B499),Materialeoutput!F13*Argumenter!C296,AND(W7=Argumenter!B500),"-"))</f>
        <v>#REF!</v>
      </c>
    </row>
    <row r="8" spans="1:31" ht="11.1" hidden="1" customHeight="1" x14ac:dyDescent="0.25">
      <c r="A8" s="586"/>
      <c r="C8" s="139" t="s">
        <v>99</v>
      </c>
      <c r="D8" s="147" t="s">
        <v>66</v>
      </c>
      <c r="E8" s="148" t="s">
        <v>87</v>
      </c>
      <c r="F8" s="10" t="str" cm="1">
        <f t="array" ref="F8">(_xlfn.IFS(AND(E8=Argumenter!B499),C8,AND(E8=Argumenter!B500),"-"))</f>
        <v>Downcycling</v>
      </c>
      <c r="G8" s="141" t="e" cm="1">
        <f t="array" ref="G8">(_xlfn.IFS(AND(E8=Argumenter!B499),Materialeoutput!I9*Argumenter!C207,AND(E8=Argumenter!B500),"-"))</f>
        <v>#REF!</v>
      </c>
      <c r="H8" s="142" t="str" cm="1">
        <f t="array" ref="H8">(_xlfn.IFS(AND(E8=Argumenter!B499),_xlfn.CONCAT(Argumenter!C207*100,"-",Argumenter!D207*100),AND(E8=Argumenter!B500),"-"))</f>
        <v>25-100</v>
      </c>
      <c r="I8" s="143" t="s">
        <v>136</v>
      </c>
      <c r="J8" s="144" t="str" cm="1">
        <f t="array" ref="J8">(_xlfn.IFS(AND(E8=Argumenter!B499),_xlfn.CONCAT(Argumenter!C249*100,),AND(E8=Argumenter!B500),"-"))</f>
        <v>50</v>
      </c>
      <c r="K8" s="145" t="e" cm="1">
        <f t="array" ref="K8">(_xlfn.IFS(AND(E8=Argumenter!B499),Materialeoutput!F9*Argumenter!C287,AND(E8=Argumenter!B500),"-"))</f>
        <v>#REF!</v>
      </c>
      <c r="M8" s="149" t="s">
        <v>41</v>
      </c>
      <c r="N8" s="148" t="s">
        <v>87</v>
      </c>
      <c r="O8" s="148" t="str" cm="1">
        <f t="array" ref="O8">(_xlfn.IFS(AND(N8=Argumenter!B499),C8,AND(N8=Argumenter!B500),"-"))</f>
        <v>Downcycling</v>
      </c>
      <c r="P8" s="150" t="e" cm="1">
        <f t="array" ref="P8">(_xlfn.IFS(AND(N8=Argumenter!B499),Materialeoutput!I11*Argumenter!C211,AND(N8=Argumenter!B500),"-"))</f>
        <v>#REF!</v>
      </c>
      <c r="Q8" s="151" t="str" cm="1">
        <f t="array" ref="Q8">(_xlfn.IFS(AND(N8=Argumenter!B499),_xlfn.CONCAT(Argumenter!C211*100,"-",Argumenter!D211*100),AND(N8=Argumenter!B500),"-"))</f>
        <v>25-100</v>
      </c>
      <c r="R8" s="152" t="s">
        <v>136</v>
      </c>
      <c r="S8" s="151" cm="1">
        <f t="array" ref="S8">(_xlfn.IFS(AND(N8=Argumenter!B499),Argumenter!C253*100,AND(N8=Argumenter!B500),"-"))</f>
        <v>50</v>
      </c>
      <c r="T8" s="153" t="e" cm="1">
        <f t="array" ref="T8">(_xlfn.IFS(AND(N8=Argumenter!B499),Materialeoutput!F11*Argumenter!C292,AND(N8=Argumenter!B500),"-"))</f>
        <v>#REF!</v>
      </c>
      <c r="V8" s="147" t="s">
        <v>38</v>
      </c>
      <c r="W8" s="148" t="s">
        <v>87</v>
      </c>
      <c r="X8" s="148" t="str" cm="1">
        <f t="array" ref="X8">(_xlfn.IFS(AND(W8=Argumenter!B499),C8,AND(W8=Argumenter!B500),"-"))</f>
        <v>Downcycling</v>
      </c>
      <c r="Y8" s="148" t="e" cm="1">
        <f t="array" ref="Y8">(_xlfn.IFS(AND(W8=Argumenter!B499),Materialeoutput!I13*Argumenter!C216,AND(W8=Argumenter!B500),"-"))</f>
        <v>#REF!</v>
      </c>
      <c r="Z8" s="154" t="str" cm="1">
        <f t="array" ref="Z8">(_xlfn.IFS(AND(W8=Argumenter!B499),_xlfn.CONCAT(Argumenter!C216*100,"-",Argumenter!D216*100),AND(W8=Argumenter!B500),"-"))</f>
        <v>25-100</v>
      </c>
      <c r="AA8" s="152" t="s">
        <v>136</v>
      </c>
      <c r="AB8" s="151" cm="1">
        <f t="array" ref="AB8">(_xlfn.IFS(AND(W8=Argumenter!B499),Argumenter!C258*100,AND(W8=Argumenter!B500),"-"))</f>
        <v>50</v>
      </c>
      <c r="AC8" s="153" t="e" cm="1">
        <f t="array" ref="AC8">(_xlfn.IFS(AND(W8=Argumenter!B499),Materialeoutput!F13*Argumenter!C297,AND(W8=Argumenter!B500),"-"))</f>
        <v>#REF!</v>
      </c>
    </row>
    <row r="9" spans="1:31" ht="45.6" hidden="1" customHeight="1" x14ac:dyDescent="0.25">
      <c r="F9" s="590"/>
      <c r="G9" s="592"/>
      <c r="H9" s="155"/>
      <c r="I9" s="155"/>
      <c r="J9" s="594"/>
      <c r="K9" s="595"/>
      <c r="X9" s="584"/>
      <c r="Y9" s="585"/>
      <c r="Z9" s="156"/>
      <c r="AA9" s="156"/>
      <c r="AB9" s="576"/>
      <c r="AC9" s="583"/>
    </row>
    <row r="10" spans="1:31" ht="15.6" hidden="1" customHeight="1" x14ac:dyDescent="0.25">
      <c r="D10" s="13"/>
      <c r="F10" s="591"/>
      <c r="G10" s="593"/>
      <c r="H10" s="157"/>
      <c r="I10" s="157"/>
      <c r="J10" s="576"/>
      <c r="K10" s="583"/>
      <c r="X10" s="584"/>
      <c r="Y10" s="585"/>
      <c r="Z10" s="156"/>
      <c r="AA10" s="156"/>
      <c r="AB10" s="576"/>
      <c r="AC10" s="583"/>
    </row>
    <row r="11" spans="1:31" ht="16.8" x14ac:dyDescent="0.25">
      <c r="F11" s="591"/>
      <c r="G11" s="593"/>
      <c r="H11" s="157"/>
      <c r="I11" s="157"/>
      <c r="J11" s="576"/>
      <c r="K11" s="583"/>
      <c r="X11" s="584"/>
      <c r="Y11" s="585"/>
      <c r="Z11" s="156"/>
      <c r="AA11" s="156"/>
      <c r="AB11" s="576"/>
      <c r="AC11" s="583"/>
    </row>
    <row r="12" spans="1:31" ht="25.2" x14ac:dyDescent="0.25">
      <c r="A12" s="587" t="s">
        <v>305</v>
      </c>
      <c r="D12" s="580" t="s">
        <v>31</v>
      </c>
      <c r="E12" s="581"/>
      <c r="F12" s="581"/>
      <c r="G12" s="581"/>
      <c r="H12" s="581"/>
      <c r="I12" s="581"/>
      <c r="J12" s="581"/>
      <c r="K12" s="582"/>
      <c r="L12" s="10"/>
      <c r="M12" s="577" t="s">
        <v>105</v>
      </c>
      <c r="N12" s="578"/>
      <c r="O12" s="578"/>
      <c r="P12" s="578"/>
      <c r="Q12" s="578"/>
      <c r="R12" s="578"/>
      <c r="S12" s="578"/>
      <c r="T12" s="578"/>
      <c r="U12" s="579"/>
      <c r="V12" s="10"/>
      <c r="W12" s="577" t="s">
        <v>115</v>
      </c>
      <c r="X12" s="578"/>
      <c r="Y12" s="578"/>
      <c r="Z12" s="578"/>
      <c r="AA12" s="578"/>
      <c r="AB12" s="578"/>
      <c r="AC12" s="578"/>
      <c r="AD12" s="578"/>
      <c r="AE12" s="579"/>
    </row>
    <row r="13" spans="1:31" ht="34.5" customHeight="1" x14ac:dyDescent="0.25">
      <c r="A13" s="587"/>
      <c r="B13" s="588" t="s">
        <v>113</v>
      </c>
      <c r="C13" s="589"/>
      <c r="D13" s="377" t="s">
        <v>39</v>
      </c>
      <c r="E13" s="378" t="s">
        <v>43</v>
      </c>
      <c r="F13" s="378" t="s">
        <v>86</v>
      </c>
      <c r="G13" s="378" t="s">
        <v>42</v>
      </c>
      <c r="H13" s="379" t="s">
        <v>106</v>
      </c>
      <c r="I13" s="379" t="s">
        <v>107</v>
      </c>
      <c r="J13" s="379" t="s">
        <v>101</v>
      </c>
      <c r="K13" s="380" t="s">
        <v>67</v>
      </c>
      <c r="L13" s="16"/>
      <c r="M13" s="381" t="s">
        <v>113</v>
      </c>
      <c r="N13" s="378" t="s">
        <v>39</v>
      </c>
      <c r="O13" s="378" t="s">
        <v>43</v>
      </c>
      <c r="P13" s="378" t="s">
        <v>86</v>
      </c>
      <c r="Q13" s="379" t="s">
        <v>42</v>
      </c>
      <c r="R13" s="379" t="s">
        <v>106</v>
      </c>
      <c r="S13" s="379" t="s">
        <v>111</v>
      </c>
      <c r="T13" s="379" t="s">
        <v>101</v>
      </c>
      <c r="U13" s="382" t="s">
        <v>67</v>
      </c>
      <c r="V13" s="16"/>
      <c r="W13" s="381"/>
      <c r="X13" s="378" t="s">
        <v>39</v>
      </c>
      <c r="Y13" s="378" t="s">
        <v>43</v>
      </c>
      <c r="Z13" s="378" t="s">
        <v>86</v>
      </c>
      <c r="AA13" s="378" t="s">
        <v>42</v>
      </c>
      <c r="AB13" s="379" t="s">
        <v>106</v>
      </c>
      <c r="AC13" s="379" t="s">
        <v>111</v>
      </c>
      <c r="AD13" s="379" t="s">
        <v>101</v>
      </c>
      <c r="AE13" s="382" t="s">
        <v>67</v>
      </c>
    </row>
    <row r="14" spans="1:31" ht="20.25" customHeight="1" x14ac:dyDescent="0.25">
      <c r="A14" s="587"/>
      <c r="B14" s="588"/>
      <c r="C14" s="589"/>
      <c r="D14" s="136"/>
      <c r="E14" s="16"/>
      <c r="F14" s="16"/>
      <c r="G14" s="16" t="s">
        <v>71</v>
      </c>
      <c r="H14" s="16"/>
      <c r="I14" s="16"/>
      <c r="J14" s="16"/>
      <c r="K14" s="137" t="s">
        <v>11</v>
      </c>
      <c r="L14" s="16"/>
      <c r="M14" s="23"/>
      <c r="N14" s="16"/>
      <c r="O14" s="16"/>
      <c r="P14" s="16"/>
      <c r="Q14" s="93" t="s">
        <v>72</v>
      </c>
      <c r="R14" s="16"/>
      <c r="S14" s="16"/>
      <c r="T14" s="16"/>
      <c r="U14" s="158" t="s">
        <v>11</v>
      </c>
      <c r="V14" s="16"/>
      <c r="W14" s="23"/>
      <c r="X14" s="16"/>
      <c r="Y14" s="16"/>
      <c r="Z14" s="16"/>
      <c r="AA14" s="93" t="s">
        <v>72</v>
      </c>
      <c r="AB14" s="16"/>
      <c r="AC14" s="16"/>
      <c r="AD14" s="16"/>
      <c r="AE14" s="158" t="s">
        <v>11</v>
      </c>
    </row>
    <row r="15" spans="1:31" ht="105.75" customHeight="1" x14ac:dyDescent="0.25">
      <c r="A15" s="587"/>
      <c r="B15" s="159" t="s">
        <v>138</v>
      </c>
      <c r="C15" s="139" t="s">
        <v>97</v>
      </c>
      <c r="D15" s="140" t="s">
        <v>352</v>
      </c>
      <c r="E15" s="11" t="e" cm="1">
        <f t="array" ref="E15">(_xlfn.IFS(AND(INPUT!H8=Ekstra!D16,INPUT!I8=Ekstra!E15),Argumenter!B499,AND(INPUT!H8=Ekstra!D16,INPUT!I8=Ekstra!F15),Argumenter!B500,AND(INPUT!H8=Ekstra!D17,INPUT!I8=Ekstra!E15),Argumenter!B499,AND(INPUT!H8=Ekstra!D17,INPUT!I8=Ekstra!F15),Argumenter!B500,AND(INPUT!H8=Ekstra!D18,INPUT!I8=Ekstra!E15),Argumenter!B499,AND(INPUT!H8=Ekstra!D18,INPUT!I8=Ekstra!F15),Argumenter!B500))</f>
        <v>#N/A</v>
      </c>
      <c r="F15" s="11" t="e" cm="1">
        <f t="array" ref="F15">(_xlfn.IFS(AND(E15=Argumenter!B499),B15,AND(E15=Argumenter!B500),"-"))</f>
        <v>#N/A</v>
      </c>
      <c r="G15" s="141" t="e" cm="1">
        <f t="array" ref="G15">(_xlfn.IFS(AND(E15=Argumenter!B499),Materialeoutput!I24*Argumenter!C224,AND(E15=Argumenter!B500),"-"))</f>
        <v>#N/A</v>
      </c>
      <c r="H15" s="142" t="e" cm="1">
        <f t="array" ref="H15">(_xlfn.IFS(AND(E15=Argumenter!B499),_xlfn.CONCAT(Argumenter!C224*100,"-",Argumenter!D224*100),AND(E15=Argumenter!B500),"-"))</f>
        <v>#N/A</v>
      </c>
      <c r="I15" s="143" t="e" cm="1">
        <f t="array" ref="I15">(_xlfn.IFS(AND(E15=Argumenter!B499),"CO2-besparelsen regnes ud fra antagelsen om, at der hverken skal transporteres ny/gammel jord til eller fra gårdhaven. ",AND(E15=Argumenter!B500),"-"))</f>
        <v>#N/A</v>
      </c>
      <c r="J15" s="144" t="e" cm="1">
        <f t="array" ref="J15">(_xlfn.IFS(AND(E15=Argumenter!B499),Argumenter!C264*100,AND(E15=Argumenter!B500),"-"))</f>
        <v>#N/A</v>
      </c>
      <c r="K15" s="145" t="e" cm="1">
        <f t="array" ref="K15">(_xlfn.IFS(AND(E15=Argumenter!B499),Materialeoutput!G24,AND(E15=Argumenter!B500),"-"))</f>
        <v>#N/A</v>
      </c>
      <c r="M15" s="160" t="str">
        <f>Argumenter!B173</f>
        <v>Genbrug på matriklen</v>
      </c>
      <c r="N15" s="14" t="s">
        <v>365</v>
      </c>
      <c r="O15" s="10" t="e" cm="1">
        <f t="array" ref="O15">_xlfn.IFS(AND(INPUT!H13&gt;=Argumenter!C173,INPUT!I13=Argumenter!B499),Argumenter!B499,AND(INPUT!H13&gt;=Argumenter!C173,INPUT!I13=Argumenter!B500),Argumenter!B500,AND(INPUT!H13&lt;=Argumenter!C173),Argumenter!B500)</f>
        <v>#N/A</v>
      </c>
      <c r="P15" s="11" t="e" cm="1">
        <f t="array" ref="P15">(_xlfn.IFS(AND(O15=Argumenter!B499),M15,AND(O15=Argumenter!B500),"-"))</f>
        <v>#N/A</v>
      </c>
      <c r="Q15" s="141" t="e" cm="1">
        <f t="array" ref="Q15">(_xlfn.IFS(AND(O15=Argumenter!B499),Materialeoutput!I26*Argumenter!C228,AND(O15=Argumenter!B500),"-"))</f>
        <v>#N/A</v>
      </c>
      <c r="R15" s="144" t="e" cm="1">
        <f t="array" ref="R15">(_xlfn.IFS(AND(O15=Argumenter!B499),_xlfn.CONCAT(Argumenter!C228*100,"-",Argumenter!D228*100),AND(O15=Argumenter!B500),"-"))</f>
        <v>#N/A</v>
      </c>
      <c r="S15" s="143" t="e" cm="1">
        <f t="array" ref="S15">(_xlfn.IFS(AND(O15=Argumenter!B499),"Afhængigt af, om asfalten kan blive liggende eller skal genlægges in-situ (hvor der ofte må tilføres ny bitumen) vil CO2-besparelsen variere en smule. ",AND(O15=Argumenter!B500),"-"))</f>
        <v>#N/A</v>
      </c>
      <c r="T15" s="144" t="e" cm="1">
        <f t="array" ref="T15">(_xlfn.IFS(AND(O15=Argumenter!B499),Argumenter!C268*100,AND(O15=Argumenter!B500),"-"))</f>
        <v>#N/A</v>
      </c>
      <c r="U15" s="161" t="e" cm="1">
        <f t="array" ref="U15">(_xlfn.IFS(AND(O15=Argumenter!B499),Materialeoutput!G26*Argumenter!C310,AND(O15=Argumenter!B500),"-"))</f>
        <v>#N/A</v>
      </c>
      <c r="W15" s="162" t="s">
        <v>97</v>
      </c>
      <c r="X15" s="163" t="s">
        <v>357</v>
      </c>
      <c r="Y15" s="10" t="str">
        <f>(IF(AND(INPUT!I18=Argumenter!B500,INPUT!J18=Argumenter!B500,INPUT!K18=Argumenter!B500),Argumenter!B499,Argumenter!B500))</f>
        <v>nej</v>
      </c>
      <c r="Z15" s="11" t="str" cm="1">
        <f t="array" ref="Z15">(_xlfn.IFS(AND(Y15=Argumenter!B499),W15,AND(Y15=Argumenter!B500),"-"))</f>
        <v>-</v>
      </c>
      <c r="AA15" s="10" t="str" cm="1">
        <f t="array" ref="AA15">(_xlfn.IFS(AND(Y15=Argumenter!B499),Materialeoutput!I28*Argumenter!C233,AND(Y15=Argumenter!B500),"-"))</f>
        <v>-</v>
      </c>
      <c r="AB15" s="144" t="str" cm="1">
        <f t="array" ref="AB15">(_xlfn.IFS(AND(Y15=Argumenter!B499),_xlfn.CONCAT(Argumenter!C233*100,"-",Argumenter!D233*100),AND(Y15=Argumenter!B500),"-"))</f>
        <v>-</v>
      </c>
      <c r="AC15" s="143" t="str" cm="1">
        <f t="array" ref="AC15">(_xlfn.IFS(AND(Y15=Argumenter!B499),"Ved direkte genbrug af beton erstatter man behovet for anvendelsen af nyt cement, der udgør materialets absolut største miljøaftryk",AND(Y15=Argumenter!B500),"-"))</f>
        <v>-</v>
      </c>
      <c r="AD15" s="144" t="str" cm="1">
        <f t="array" ref="AD15">(_xlfn.IFS(AND(Y15=Argumenter!B499),Argumenter!C273*100,AND(Y15=Argumenter!B500),"-"))</f>
        <v>-</v>
      </c>
      <c r="AE15" s="161" t="str" cm="1">
        <f t="array" ref="AE15">(_xlfn.IFS(AND(Y15=Argumenter!B499),Materialeoutput!G28*Argumenter!C315,AND(Y15=Argumenter!B500),"-"))</f>
        <v>-</v>
      </c>
    </row>
    <row r="16" spans="1:31" ht="171" customHeight="1" x14ac:dyDescent="0.25">
      <c r="A16" s="587"/>
      <c r="B16" s="159" t="s">
        <v>372</v>
      </c>
      <c r="C16" s="139" t="s">
        <v>98</v>
      </c>
      <c r="D16" s="140" t="s">
        <v>373</v>
      </c>
      <c r="E16" s="11" t="e">
        <f>IF(AND(NOT(E15=Argumenter!B499)),Argumenter!B499,Argumenter!B500)</f>
        <v>#N/A</v>
      </c>
      <c r="F16" s="11" t="e" cm="1">
        <f t="array" ref="F16">(_xlfn.IFS(AND(E16=Argumenter!B499),B16,AND(E16=Argumenter!B500),"-"))</f>
        <v>#N/A</v>
      </c>
      <c r="G16" s="141" t="e" cm="1">
        <f t="array" ref="G16">(_xlfn.IFS(AND(E16=Argumenter!B499),Materialeoutput!I24*Argumenter!C225,AND(E16=Argumenter!B500),"-"))</f>
        <v>#N/A</v>
      </c>
      <c r="H16" s="142" t="e" cm="1">
        <f t="array" ref="H16">(_xlfn.IFS(AND(E16=Argumenter!B499),_xlfn.CONCAT(Argumenter!C225*100,"-",Argumenter!D225*100),AND(E16=Argumenter!B500),"-"))</f>
        <v>#N/A</v>
      </c>
      <c r="I16" s="143" t="e" cm="1">
        <f t="array" ref="I16">(_xlfn.IFS(AND(E16=Argumenter!B499),"CO2-besparelsen regnes ud fra antagelsen om, at jorden køres væk og genanvendes inden for kommunens grænser - med en transportafstand på 5-10km. ",AND(E16=Argumenter!B500),"-"))</f>
        <v>#N/A</v>
      </c>
      <c r="J16" s="144" t="e" cm="1">
        <f t="array" ref="J16">(_xlfn.IFS(AND(E16=Argumenter!B499),Argumenter!C265*100,AND(E16=Argumenter!B500),"-"))</f>
        <v>#N/A</v>
      </c>
      <c r="K16" s="145" t="e" cm="1">
        <f t="array" ref="K16">(_xlfn.IFS(AND(E16=Argumenter!B499),Materialeoutput!G24*Argumenter!C306,AND(E16=Argumenter!B500),"-"))</f>
        <v>#N/A</v>
      </c>
      <c r="M16" s="160" t="str">
        <f>Argumenter!B174</f>
        <v xml:space="preserve">Genanvendelse uden for matriklen </v>
      </c>
      <c r="N16" s="14" t="s">
        <v>404</v>
      </c>
      <c r="O16" s="10" t="e" cm="1">
        <f t="array" ref="O16">_xlfn.IFS(AND(INPUT!H13&gt;=Argumenter!C173,INPUT!I13=Argumenter!B500),Argumenter!B499,AND(INPUT!H13&gt;=Argumenter!C173,INPUT!I13=Argumenter!B499),Argumenter!B500,AND(INPUT!H13&lt;=Argumenter!C173),Argumenter!B500)</f>
        <v>#N/A</v>
      </c>
      <c r="P16" s="11" t="e" cm="1">
        <f t="array" ref="P16">(_xlfn.IFS(AND(O16=Argumenter!B499),M16,AND(O16=Argumenter!B500),"-"))</f>
        <v>#N/A</v>
      </c>
      <c r="Q16" s="141" t="e" cm="1">
        <f t="array" ref="Q16">(_xlfn.IFS(AND(O16=Argumenter!B499),Materialeoutput!I26*Argumenter!C229,AND(O16=Argumenter!B500),"-"))</f>
        <v>#N/A</v>
      </c>
      <c r="R16" s="144" t="e" cm="1">
        <f t="array" ref="R16">(_xlfn.IFS(AND(O16=Argumenter!B499),_xlfn.CONCAT(Argumenter!C229*100,"-",Argumenter!D229*100),AND(O16=Argumenter!B500),"-"))</f>
        <v>#N/A</v>
      </c>
      <c r="S16" s="143" t="e" cm="1">
        <f t="array" ref="S16">(_xlfn.IFS(AND(O16=Argumenter!B499),"CO2-besparelsen vil variere afhængigt af processen for fræsning, transport og genudlægning, hvor der tilføres ny bitumen. ",AND(O16=Argumenter!B500),"-"))</f>
        <v>#N/A</v>
      </c>
      <c r="T16" s="144" t="e" cm="1">
        <f t="array" ref="T16">(_xlfn.IFS(AND(O16=Argumenter!B499),Argumenter!C269*100,AND(O16=Argumenter!B500),"-"))</f>
        <v>#N/A</v>
      </c>
      <c r="U16" s="161" t="e" cm="1">
        <f t="array" ref="U16">(_xlfn.IFS(AND(O16=Argumenter!B499),Materialeoutput!G26*Argumenter!C311,AND(O16=Argumenter!B500),"-"))</f>
        <v>#N/A</v>
      </c>
      <c r="W16" s="162" t="s">
        <v>98</v>
      </c>
      <c r="X16" s="163" t="s">
        <v>369</v>
      </c>
      <c r="Y16" s="10" t="str">
        <f>(IF(AND(INPUT!I18=Argumenter!B500,INPUT!J18=Argumenter!B499,INPUT!K18=Argumenter!B500),Argumenter!B499,Argumenter!B500))</f>
        <v>nej</v>
      </c>
      <c r="Z16" s="11" t="str" cm="1">
        <f t="array" ref="Z16">(_xlfn.IFS(AND(Y16=Argumenter!B499),W16,AND(Y16=Argumenter!B500),"-"))</f>
        <v>-</v>
      </c>
      <c r="AA16" s="10" t="str" cm="1">
        <f t="array" ref="AA16">(_xlfn.IFS(AND(Y16=Argumenter!B499),Materialeoutput!I28*Argumenter!C234,AND(Y16=Argumenter!B500),"-"))</f>
        <v>-</v>
      </c>
      <c r="AB16" s="144" t="str" cm="1">
        <f t="array" ref="AB16">(_xlfn.IFS(AND(Y16=Argumenter!B499),_xlfn.CONCAT(Argumenter!C234*100,"-",Argumenter!D234*100),AND(Y16=Argumenter!B500),"-"))</f>
        <v>-</v>
      </c>
      <c r="AC16" s="143" t="str" cm="1">
        <f t="array" ref="AC16">(_xlfn.IFS(AND(Y16=Argumenter!B499),"CO2-besparelsen ved upcycling er forholdsvis lille, da cementen i den nye støbning stadigvæk udgør langt det største miljøaftryk",AND(Y16=Argumenter!B500),"-"))</f>
        <v>-</v>
      </c>
      <c r="AD16" s="144" t="str" cm="1">
        <f t="array" ref="AD16">(_xlfn.IFS(AND(Y16=Argumenter!B499),Argumenter!C274*100,AND(Y16=Argumenter!B500),"-"))</f>
        <v>-</v>
      </c>
      <c r="AE16" s="161" t="str" cm="1">
        <f t="array" ref="AE16">(_xlfn.IFS(AND(Y16=Argumenter!B499),Materialeoutput!G28*Argumenter!C316,AND(Y16=Argumenter!B500),"-"))</f>
        <v>-</v>
      </c>
    </row>
    <row r="17" spans="1:31" ht="156" customHeight="1" x14ac:dyDescent="0.25">
      <c r="A17" s="587"/>
      <c r="B17" s="164" t="s">
        <v>139</v>
      </c>
      <c r="C17" s="139" t="s">
        <v>99</v>
      </c>
      <c r="D17" s="147" t="s">
        <v>137</v>
      </c>
      <c r="E17" s="165" t="s">
        <v>140</v>
      </c>
      <c r="F17" s="166" t="str" cm="1">
        <f t="array" ref="F17">(_xlfn.IFS(AND(E17=Argumenter!B499),B17,AND(E17=Argumenter!B500),"-"))</f>
        <v>Deponi</v>
      </c>
      <c r="G17" s="167" cm="1">
        <f t="array" ref="G17">(_xlfn.IFS(AND(E17=Argumenter!B499),Materialeoutput!I24*Argumenter!C226,AND(E17=Argumenter!B500),"-"))</f>
        <v>0</v>
      </c>
      <c r="H17" s="168" t="str" cm="1">
        <f t="array" ref="H17">(_xlfn.IFS(AND(E17=Argumenter!B499),_xlfn.CONCAT(Argumenter!C226*100,"-",Argumenter!D226*100),AND(E17=Argumenter!B500),"-"))</f>
        <v>0-5</v>
      </c>
      <c r="I17" s="152" t="str" cm="1">
        <f t="array" ref="I17">(_xlfn.IFS(AND(E17=Argumenter!B499),"CO2 besparelse er projektafhængig og kan variere baseret på proces for nedtagning samt oparbejdning af materiale. ",AND(E17=Argumenter!B500),"-"))</f>
        <v xml:space="preserve">CO2 besparelse er projektafhængig og kan variere baseret på proces for nedtagning samt oparbejdning af materiale. </v>
      </c>
      <c r="J17" s="154" cm="1">
        <f t="array" ref="J17">(_xlfn.IFS(AND(E17=Argumenter!B499),Argumenter!C266*100,AND(E17=Argumenter!B500),"-"))</f>
        <v>0</v>
      </c>
      <c r="K17" s="169" cm="1">
        <f t="array" ref="K17">(_xlfn.IFS(AND(E17=Argumenter!B499),Materialeoutput!G24*Argumenter!C307,AND(E17=Argumenter!B500),"-"))</f>
        <v>0</v>
      </c>
      <c r="M17" s="170" t="str">
        <f>Argumenter!B175</f>
        <v>Downcycling</v>
      </c>
      <c r="N17" s="171" t="s">
        <v>403</v>
      </c>
      <c r="O17" s="172" t="s">
        <v>87</v>
      </c>
      <c r="P17" s="166" t="str" cm="1">
        <f t="array" ref="P17">(_xlfn.IFS(AND(O17=Argumenter!B499),M17,AND(O17=Argumenter!B500),"-"))</f>
        <v>Downcycling</v>
      </c>
      <c r="Q17" s="167" cm="1">
        <f t="array" ref="Q17">(_xlfn.IFS(AND(O17=Argumenter!B499),Materialeoutput!I26*Argumenter!C230,AND(O17=Argumenter!B500),"-"))</f>
        <v>0</v>
      </c>
      <c r="R17" s="154" t="str" cm="1">
        <f t="array" ref="R17">(_xlfn.IFS(AND(O17=Argumenter!B499),_xlfn.CONCAT(Argumenter!C230*100,"-",Argumenter!D230*100),AND(O17=Argumenter!B500),"-"))</f>
        <v>10-95</v>
      </c>
      <c r="S17" s="152" t="str" cm="1">
        <f t="array" ref="S17">(_xlfn.IFS(AND(O17=Argumenter!B499),"CO2 besparelse er projektafhængig og vil variere meget på baggrund af processen for nedknusning samt ny anvendelse af materialet. ",AND(O17=Argumenter!B500),"-"))</f>
        <v xml:space="preserve">CO2 besparelse er projektafhængig og vil variere meget på baggrund af processen for nedknusning samt ny anvendelse af materialet. </v>
      </c>
      <c r="T17" s="154" cm="1">
        <f t="array" ref="T17">(_xlfn.IFS(AND(O17=Argumenter!B499),Argumenter!C270*100,AND(O17=Argumenter!B500),"-"))</f>
        <v>95</v>
      </c>
      <c r="U17" s="173" cm="1">
        <f t="array" ref="U17">(_xlfn.IFS(AND(O17=Argumenter!B499),Materialeoutput!G26*Argumenter!C312,AND(O17=Argumenter!B500),"-"))</f>
        <v>0</v>
      </c>
      <c r="W17" s="174" t="s">
        <v>99</v>
      </c>
      <c r="X17" s="175" t="s">
        <v>402</v>
      </c>
      <c r="Y17" s="172" t="s">
        <v>140</v>
      </c>
      <c r="Z17" s="166" t="str" cm="1">
        <f t="array" ref="Z17">(_xlfn.IFS(AND(Y17=Argumenter!B499),W17,AND(Y17=Argumenter!B500),"-"))</f>
        <v>Downcycling</v>
      </c>
      <c r="AA17" s="172" cm="1">
        <f t="array" ref="AA17">(_xlfn.IFS(AND(Y17=Argumenter!B499),Materialeoutput!I28*Argumenter!C235,AND(Y17=Argumenter!B500),"-"))</f>
        <v>0</v>
      </c>
      <c r="AB17" s="154" t="str" cm="1">
        <f t="array" ref="AB17">(_xlfn.IFS(AND(Y17=Argumenter!B499),_xlfn.CONCAT(Argumenter!C235*100,"-",Argumenter!D235*100),AND(Y17=Argumenter!B500),"-"))</f>
        <v>5-95</v>
      </c>
      <c r="AC17" s="152" t="str" cm="1">
        <f t="array" ref="AC17">(_xlfn.IFS(AND(Y17=Argumenter!B499),"Ved downcycling af beton måles CO2-besparelsen på reduceret energi ved selve udvinding af jomfrueligt materiale samt transporten af denne til anvendelsesstedet. Derfor vil besparelsen variere meget afhængigt af, hvor betonen downcycles ",AND(Y17=Argumenter!B500),"-"))</f>
        <v xml:space="preserve">Ved downcycling af beton måles CO2-besparelsen på reduceret energi ved selve udvinding af jomfrueligt materiale samt transporten af denne til anvendelsesstedet. Derfor vil besparelsen variere meget afhængigt af, hvor betonen downcycles </v>
      </c>
      <c r="AD17" s="154" cm="1">
        <f t="array" ref="AD17">(_xlfn.IFS(AND(Y17=Argumenter!B499),Argumenter!C275*100,AND(Y17=Argumenter!B500),"-"))</f>
        <v>100</v>
      </c>
      <c r="AE17" s="173" cm="1">
        <f t="array" ref="AE17">(_xlfn.IFS(AND(Y17=Argumenter!B499),Materialeoutput!G28*Argumenter!C317,AND(Y17=Argumenter!B500),"-"))</f>
        <v>0</v>
      </c>
    </row>
    <row r="25" spans="1:31" x14ac:dyDescent="0.25">
      <c r="M25" s="13"/>
      <c r="N25" s="13"/>
      <c r="O25" s="13"/>
    </row>
  </sheetData>
  <mergeCells count="17">
    <mergeCell ref="A3:A8"/>
    <mergeCell ref="A12:A17"/>
    <mergeCell ref="D12:K12"/>
    <mergeCell ref="B13:C14"/>
    <mergeCell ref="M12:U12"/>
    <mergeCell ref="F9:F11"/>
    <mergeCell ref="G9:G11"/>
    <mergeCell ref="J9:J11"/>
    <mergeCell ref="K9:K11"/>
    <mergeCell ref="AB9:AB11"/>
    <mergeCell ref="W12:AE12"/>
    <mergeCell ref="D3:K3"/>
    <mergeCell ref="M3:T3"/>
    <mergeCell ref="V3:AC3"/>
    <mergeCell ref="AC9:AC11"/>
    <mergeCell ref="X9:X11"/>
    <mergeCell ref="Y9:Y11"/>
  </mergeCells>
  <conditionalFormatting sqref="F6:F8">
    <cfRule type="cellIs" dxfId="27" priority="15" operator="equal">
      <formula>$C$6</formula>
    </cfRule>
  </conditionalFormatting>
  <conditionalFormatting sqref="F7">
    <cfRule type="cellIs" dxfId="26" priority="14" operator="equal">
      <formula>$C$7</formula>
    </cfRule>
  </conditionalFormatting>
  <conditionalFormatting sqref="F8">
    <cfRule type="cellIs" dxfId="25" priority="13" operator="equal">
      <formula>$C$8</formula>
    </cfRule>
  </conditionalFormatting>
  <conditionalFormatting sqref="F9">
    <cfRule type="cellIs" dxfId="24" priority="25" operator="equal">
      <formula>$C$7</formula>
    </cfRule>
    <cfRule type="cellIs" dxfId="23" priority="26" operator="equal">
      <formula>$C$6</formula>
    </cfRule>
    <cfRule type="cellIs" dxfId="22" priority="27" operator="equal">
      <formula>$C$8</formula>
    </cfRule>
  </conditionalFormatting>
  <conditionalFormatting sqref="F15:F17">
    <cfRule type="cellIs" dxfId="21" priority="6" operator="equal">
      <formula>$C$6</formula>
    </cfRule>
  </conditionalFormatting>
  <conditionalFormatting sqref="F16">
    <cfRule type="cellIs" dxfId="20" priority="5" operator="equal">
      <formula>$C$7</formula>
    </cfRule>
  </conditionalFormatting>
  <conditionalFormatting sqref="F17">
    <cfRule type="cellIs" dxfId="19" priority="4" operator="equal">
      <formula>$C$8</formula>
    </cfRule>
  </conditionalFormatting>
  <conditionalFormatting sqref="O6">
    <cfRule type="cellIs" dxfId="18" priority="24" operator="equal">
      <formula>$C$6</formula>
    </cfRule>
  </conditionalFormatting>
  <conditionalFormatting sqref="O7">
    <cfRule type="cellIs" dxfId="17" priority="23" operator="equal">
      <formula>$C$7</formula>
    </cfRule>
  </conditionalFormatting>
  <conditionalFormatting sqref="O8">
    <cfRule type="cellIs" dxfId="16" priority="22" operator="equal">
      <formula>$C$8</formula>
    </cfRule>
  </conditionalFormatting>
  <conditionalFormatting sqref="P15:P17">
    <cfRule type="cellIs" dxfId="15" priority="3" operator="equal">
      <formula>$C$6</formula>
    </cfRule>
  </conditionalFormatting>
  <conditionalFormatting sqref="P16">
    <cfRule type="cellIs" dxfId="14" priority="2" operator="equal">
      <formula>$C$7</formula>
    </cfRule>
  </conditionalFormatting>
  <conditionalFormatting sqref="P17">
    <cfRule type="cellIs" dxfId="13" priority="1" operator="equal">
      <formula>$C$8</formula>
    </cfRule>
  </conditionalFormatting>
  <conditionalFormatting sqref="X6">
    <cfRule type="cellIs" dxfId="12" priority="21" operator="equal">
      <formula>$C$6</formula>
    </cfRule>
  </conditionalFormatting>
  <conditionalFormatting sqref="X7">
    <cfRule type="cellIs" dxfId="11" priority="20" operator="equal">
      <formula>$C$7</formula>
    </cfRule>
  </conditionalFormatting>
  <conditionalFormatting sqref="X8">
    <cfRule type="cellIs" dxfId="10" priority="19" operator="equal">
      <formula>$C$8</formula>
    </cfRule>
  </conditionalFormatting>
  <conditionalFormatting sqref="X9">
    <cfRule type="cellIs" dxfId="9" priority="28" operator="equal">
      <formula>$C$8</formula>
    </cfRule>
    <cfRule type="cellIs" dxfId="8" priority="29" operator="equal">
      <formula>$C$7</formula>
    </cfRule>
    <cfRule type="cellIs" dxfId="7" priority="30" operator="equal">
      <formula>$C$6</formula>
    </cfRule>
  </conditionalFormatting>
  <conditionalFormatting sqref="Z15:Z17">
    <cfRule type="cellIs" dxfId="6" priority="9" operator="equal">
      <formula>$C$6</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2">
    <tabColor theme="0"/>
  </sheetPr>
  <dimension ref="A1:AK98"/>
  <sheetViews>
    <sheetView zoomScale="70" zoomScaleNormal="70" workbookViewId="0">
      <selection activeCell="H28" sqref="H28"/>
    </sheetView>
  </sheetViews>
  <sheetFormatPr defaultColWidth="9.109375" defaultRowHeight="13.8" x14ac:dyDescent="0.25"/>
  <cols>
    <col min="1" max="1" width="9.109375" style="176"/>
    <col min="2" max="2" width="21.33203125" style="176" customWidth="1"/>
    <col min="3" max="3" width="18.44140625" style="176" customWidth="1"/>
    <col min="4" max="4" width="18.109375" style="176" bestFit="1" customWidth="1"/>
    <col min="5" max="5" width="10.109375" style="176" bestFit="1" customWidth="1"/>
    <col min="6" max="6" width="17.33203125" style="176" bestFit="1" customWidth="1"/>
    <col min="7" max="7" width="17.109375" style="176" customWidth="1"/>
    <col min="8" max="8" width="17.44140625" style="176" customWidth="1"/>
    <col min="9" max="9" width="18.109375" style="176" bestFit="1" customWidth="1"/>
    <col min="10" max="10" width="18.109375" style="176" customWidth="1"/>
    <col min="11" max="11" width="16.33203125" style="176" customWidth="1"/>
    <col min="12" max="12" width="19.88671875" style="176" customWidth="1"/>
    <col min="13" max="13" width="11.33203125" style="176" customWidth="1"/>
    <col min="14" max="14" width="9.6640625" style="176" customWidth="1"/>
    <col min="15" max="15" width="10.44140625" style="176" bestFit="1" customWidth="1"/>
    <col min="16" max="16" width="24.33203125" style="176" customWidth="1"/>
    <col min="17" max="17" width="12" style="176" bestFit="1" customWidth="1"/>
    <col min="18" max="21" width="9.109375" style="176"/>
    <col min="22" max="22" width="25" style="176" bestFit="1" customWidth="1"/>
    <col min="23" max="23" width="13.88671875" style="176" bestFit="1" customWidth="1"/>
    <col min="24" max="24" width="17.6640625" style="176" bestFit="1" customWidth="1"/>
    <col min="25" max="16384" width="9.109375" style="176"/>
  </cols>
  <sheetData>
    <row r="1" spans="1:37" ht="9" customHeight="1" x14ac:dyDescent="0.2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row>
    <row r="2" spans="1:37" hidden="1" x14ac:dyDescent="0.25">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row>
    <row r="3" spans="1:37" hidden="1" x14ac:dyDescent="0.25">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7" hidden="1" x14ac:dyDescent="0.25">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row>
    <row r="5" spans="1:37" hidden="1" x14ac:dyDescent="0.2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row>
    <row r="6" spans="1:37" hidden="1" x14ac:dyDescent="0.25">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row>
    <row r="7" spans="1:37" ht="44.1" hidden="1" customHeight="1" x14ac:dyDescent="0.25">
      <c r="A7" s="6"/>
      <c r="B7" s="383" t="s">
        <v>35</v>
      </c>
      <c r="C7" s="383" t="s">
        <v>2</v>
      </c>
      <c r="D7" s="383" t="s">
        <v>3</v>
      </c>
      <c r="E7" s="384" t="s">
        <v>23</v>
      </c>
      <c r="F7" s="384" t="s">
        <v>5</v>
      </c>
      <c r="G7" s="384" t="s">
        <v>11</v>
      </c>
      <c r="H7" s="383" t="s">
        <v>6</v>
      </c>
      <c r="I7" s="384" t="s">
        <v>24</v>
      </c>
      <c r="J7" s="384"/>
      <c r="K7" s="383" t="s">
        <v>25</v>
      </c>
      <c r="L7" s="385"/>
      <c r="M7" s="384" t="s">
        <v>5</v>
      </c>
      <c r="N7" s="384" t="s">
        <v>21</v>
      </c>
      <c r="O7" s="6"/>
      <c r="P7" s="6"/>
      <c r="Q7" s="6"/>
      <c r="R7" s="17"/>
      <c r="S7" s="6"/>
      <c r="T7" s="6"/>
      <c r="U7" s="6"/>
      <c r="V7" s="6"/>
      <c r="W7" s="6"/>
      <c r="X7" s="6"/>
      <c r="Y7" s="6"/>
      <c r="Z7" s="6"/>
      <c r="AA7" s="6"/>
      <c r="AB7" s="6"/>
      <c r="AC7" s="6"/>
      <c r="AD7" s="6"/>
      <c r="AE7" s="6"/>
      <c r="AF7" s="6"/>
      <c r="AG7" s="6"/>
      <c r="AH7" s="6"/>
      <c r="AI7" s="6"/>
      <c r="AJ7" s="6"/>
      <c r="AK7" s="6"/>
    </row>
    <row r="8" spans="1:37" hidden="1" x14ac:dyDescent="0.25">
      <c r="A8" s="6"/>
      <c r="B8" s="177"/>
      <c r="C8" s="177"/>
      <c r="D8" s="177"/>
      <c r="E8" s="178"/>
      <c r="F8" s="178"/>
      <c r="G8" s="178"/>
      <c r="H8" s="177"/>
      <c r="I8" s="178"/>
      <c r="J8" s="178"/>
      <c r="K8" s="178"/>
      <c r="L8" s="6"/>
      <c r="M8" s="6"/>
      <c r="N8" s="6"/>
      <c r="O8" s="6"/>
      <c r="P8" s="6"/>
      <c r="Q8" s="6"/>
      <c r="R8" s="6"/>
      <c r="S8" s="6"/>
      <c r="T8" s="6"/>
      <c r="U8" s="6"/>
      <c r="V8" s="6"/>
      <c r="W8" s="6"/>
      <c r="X8" s="6"/>
      <c r="Y8" s="6"/>
      <c r="Z8" s="6"/>
      <c r="AA8" s="6"/>
      <c r="AB8" s="6"/>
      <c r="AC8" s="6"/>
      <c r="AD8" s="6"/>
      <c r="AE8" s="6"/>
      <c r="AF8" s="6"/>
      <c r="AG8" s="6"/>
      <c r="AH8" s="6"/>
      <c r="AI8" s="6"/>
      <c r="AJ8" s="6"/>
      <c r="AK8" s="6"/>
    </row>
    <row r="9" spans="1:37" hidden="1" x14ac:dyDescent="0.25">
      <c r="A9" s="6"/>
      <c r="B9" s="603" t="s">
        <v>130</v>
      </c>
      <c r="C9" s="10" t="s">
        <v>28</v>
      </c>
      <c r="D9" s="10" t="s">
        <v>30</v>
      </c>
      <c r="E9" s="10" t="e">
        <f>F9*14</f>
        <v>#REF!</v>
      </c>
      <c r="F9" s="10" t="e">
        <f>#REF!</f>
        <v>#REF!</v>
      </c>
      <c r="G9" s="179" t="e">
        <f>F9*K9</f>
        <v>#REF!</v>
      </c>
      <c r="H9" s="10" t="e">
        <f>G9*E41</f>
        <v>#REF!</v>
      </c>
      <c r="I9" s="180" t="e">
        <f>H9*F41</f>
        <v>#REF!</v>
      </c>
      <c r="J9" s="180"/>
      <c r="K9" s="161">
        <v>0.02</v>
      </c>
      <c r="L9" s="6"/>
      <c r="M9" s="181" t="e">
        <f>H9/$H$18</f>
        <v>#REF!</v>
      </c>
      <c r="N9" s="181" t="e">
        <f>I9/$I$18</f>
        <v>#REF!</v>
      </c>
      <c r="O9" s="6"/>
      <c r="P9" s="6"/>
      <c r="Q9" s="6"/>
      <c r="R9" s="6"/>
      <c r="S9" s="6"/>
      <c r="T9" s="6"/>
      <c r="U9" s="6"/>
      <c r="V9" s="6"/>
      <c r="W9" s="6"/>
      <c r="X9" s="6"/>
      <c r="Y9" s="6"/>
      <c r="Z9" s="6"/>
      <c r="AA9" s="6"/>
      <c r="AB9" s="6"/>
      <c r="AC9" s="6"/>
      <c r="AD9" s="6"/>
      <c r="AE9" s="6"/>
      <c r="AF9" s="6"/>
      <c r="AG9" s="6"/>
      <c r="AH9" s="6"/>
      <c r="AI9" s="6"/>
      <c r="AJ9" s="6"/>
      <c r="AK9" s="6"/>
    </row>
    <row r="10" spans="1:37" hidden="1" x14ac:dyDescent="0.25">
      <c r="A10" s="6"/>
      <c r="B10" s="603"/>
      <c r="C10" s="10"/>
      <c r="D10" s="10"/>
      <c r="E10" s="10"/>
      <c r="F10" s="10"/>
      <c r="G10" s="179"/>
      <c r="H10" s="10"/>
      <c r="I10" s="10"/>
      <c r="J10" s="10"/>
      <c r="K10" s="161"/>
      <c r="L10" s="6"/>
      <c r="M10" s="181"/>
      <c r="N10" s="181"/>
      <c r="O10" s="6"/>
      <c r="P10" s="6"/>
      <c r="Q10" s="6"/>
      <c r="R10" s="6"/>
      <c r="S10" s="6"/>
      <c r="T10" s="6"/>
      <c r="U10" s="6"/>
      <c r="V10" s="6"/>
      <c r="W10" s="6"/>
      <c r="X10" s="6"/>
      <c r="Y10" s="6"/>
      <c r="Z10" s="6"/>
      <c r="AA10" s="6"/>
      <c r="AB10" s="6"/>
      <c r="AC10" s="6"/>
      <c r="AD10" s="6"/>
      <c r="AE10" s="6"/>
      <c r="AF10" s="6"/>
      <c r="AG10" s="6"/>
      <c r="AH10" s="6"/>
      <c r="AI10" s="6"/>
      <c r="AJ10" s="6"/>
      <c r="AK10" s="6"/>
    </row>
    <row r="11" spans="1:37" hidden="1" x14ac:dyDescent="0.25">
      <c r="A11" s="6"/>
      <c r="B11" s="603"/>
      <c r="C11" s="9" t="s">
        <v>27</v>
      </c>
      <c r="D11" s="9"/>
      <c r="E11" s="182">
        <v>76</v>
      </c>
      <c r="F11" s="179" t="e">
        <f>#REF!*0.8</f>
        <v>#REF!</v>
      </c>
      <c r="G11" s="179" t="e">
        <f>F11*K11</f>
        <v>#REF!</v>
      </c>
      <c r="H11" s="179" t="e">
        <f>G11*E42</f>
        <v>#REF!</v>
      </c>
      <c r="I11" s="179" t="e">
        <f>_xlfn.IFS(AND(#REF!=1),Materialeoutput!F11*Materialeoutput!F48,AND(#REF!=2),Materialeoutput!F11*Materialeoutput!F44,AND(#REF!&gt;=3),Materialeoutput!F11*Materialeoutput!F46)</f>
        <v>#REF!</v>
      </c>
      <c r="J11" s="179"/>
      <c r="K11" s="183">
        <v>0.01</v>
      </c>
      <c r="L11" s="184"/>
      <c r="M11" s="181" t="e">
        <f>H11/$H$18</f>
        <v>#REF!</v>
      </c>
      <c r="N11" s="181" t="e">
        <f>I11/$I$18</f>
        <v>#REF!</v>
      </c>
      <c r="O11" s="6"/>
      <c r="P11" s="6"/>
      <c r="Q11" s="6"/>
      <c r="R11" s="6"/>
      <c r="S11" s="6"/>
      <c r="T11" s="6"/>
      <c r="U11" s="6"/>
      <c r="V11" s="6"/>
      <c r="W11" s="6"/>
      <c r="X11" s="6"/>
      <c r="Y11" s="6"/>
      <c r="Z11" s="6"/>
      <c r="AA11" s="6"/>
      <c r="AB11" s="6"/>
      <c r="AC11" s="6"/>
      <c r="AD11" s="6"/>
      <c r="AE11" s="6"/>
      <c r="AF11" s="6"/>
      <c r="AG11" s="6"/>
      <c r="AH11" s="6"/>
      <c r="AI11" s="6"/>
      <c r="AJ11" s="6"/>
      <c r="AK11" s="6"/>
    </row>
    <row r="12" spans="1:37" hidden="1" x14ac:dyDescent="0.25">
      <c r="A12" s="6"/>
      <c r="B12" s="603"/>
      <c r="C12" s="9"/>
      <c r="D12" s="9"/>
      <c r="E12" s="182"/>
      <c r="F12" s="179"/>
      <c r="G12" s="179"/>
      <c r="H12" s="179"/>
      <c r="I12" s="179"/>
      <c r="J12" s="179"/>
      <c r="K12" s="183"/>
      <c r="L12" s="185"/>
      <c r="M12" s="186"/>
      <c r="N12" s="181"/>
      <c r="O12" s="6"/>
      <c r="P12" s="6"/>
      <c r="Q12" s="6"/>
      <c r="R12" s="6"/>
      <c r="S12" s="6"/>
      <c r="T12" s="6"/>
      <c r="U12" s="6"/>
      <c r="V12" s="6"/>
      <c r="W12" s="6"/>
      <c r="X12" s="6"/>
      <c r="Y12" s="6"/>
      <c r="Z12" s="6"/>
      <c r="AA12" s="6"/>
      <c r="AB12" s="6"/>
      <c r="AC12" s="6"/>
      <c r="AD12" s="6"/>
      <c r="AE12" s="6"/>
      <c r="AF12" s="6"/>
      <c r="AG12" s="6"/>
      <c r="AH12" s="6"/>
      <c r="AI12" s="6"/>
      <c r="AJ12" s="6"/>
      <c r="AK12" s="6"/>
    </row>
    <row r="13" spans="1:37" hidden="1" x14ac:dyDescent="0.25">
      <c r="A13" s="6"/>
      <c r="B13" s="603"/>
      <c r="C13" s="10" t="s">
        <v>0</v>
      </c>
      <c r="D13" s="10"/>
      <c r="E13" s="10" t="e">
        <f>F13*Argumenter!C23</f>
        <v>#REF!</v>
      </c>
      <c r="F13" s="10" t="e">
        <f>#REF!*0.8</f>
        <v>#REF!</v>
      </c>
      <c r="G13" s="10" t="e">
        <f>F13*K13</f>
        <v>#REF!</v>
      </c>
      <c r="H13" s="10" t="e">
        <f>G13*E49</f>
        <v>#REF!</v>
      </c>
      <c r="I13" s="141" t="e">
        <f>H13*F49</f>
        <v>#REF!</v>
      </c>
      <c r="J13" s="141"/>
      <c r="K13" s="161">
        <v>0.1</v>
      </c>
      <c r="L13" s="6"/>
      <c r="M13" s="181" t="e">
        <f>H13/$H$18</f>
        <v>#REF!</v>
      </c>
      <c r="N13" s="181" t="e">
        <f>I13/$I$18</f>
        <v>#REF!</v>
      </c>
      <c r="O13" s="6"/>
      <c r="P13" s="6"/>
      <c r="Q13" s="6"/>
      <c r="R13" s="6"/>
      <c r="S13" s="187"/>
      <c r="T13" s="6"/>
      <c r="U13" s="6"/>
      <c r="V13" s="6"/>
      <c r="W13" s="6"/>
      <c r="X13" s="6"/>
      <c r="Y13" s="6"/>
      <c r="Z13" s="6"/>
      <c r="AA13" s="6"/>
      <c r="AB13" s="6"/>
      <c r="AC13" s="6"/>
      <c r="AD13" s="6"/>
      <c r="AE13" s="6"/>
      <c r="AF13" s="6"/>
      <c r="AG13" s="6"/>
      <c r="AH13" s="6"/>
      <c r="AI13" s="6"/>
      <c r="AJ13" s="6"/>
      <c r="AK13" s="6"/>
    </row>
    <row r="14" spans="1:37" hidden="1" x14ac:dyDescent="0.25">
      <c r="A14" s="6"/>
      <c r="B14" s="603"/>
      <c r="C14" s="10"/>
      <c r="D14" s="10"/>
      <c r="E14" s="10"/>
      <c r="F14" s="10"/>
      <c r="G14" s="10"/>
      <c r="H14" s="10"/>
      <c r="I14" s="141"/>
      <c r="J14" s="141"/>
      <c r="K14" s="161"/>
      <c r="L14" s="6"/>
      <c r="M14" s="181"/>
      <c r="N14" s="181"/>
      <c r="O14" s="6"/>
      <c r="P14" s="6"/>
      <c r="Q14" s="6"/>
      <c r="R14" s="6"/>
      <c r="S14" s="187"/>
      <c r="T14" s="6"/>
      <c r="U14" s="6"/>
      <c r="V14" s="6"/>
      <c r="W14" s="6"/>
      <c r="X14" s="6"/>
      <c r="Y14" s="6"/>
      <c r="Z14" s="6"/>
      <c r="AA14" s="6"/>
      <c r="AB14" s="6"/>
      <c r="AC14" s="6"/>
      <c r="AD14" s="6"/>
      <c r="AE14" s="6"/>
      <c r="AF14" s="6"/>
      <c r="AG14" s="6"/>
      <c r="AH14" s="6"/>
      <c r="AI14" s="6"/>
      <c r="AJ14" s="6"/>
      <c r="AK14" s="6"/>
    </row>
    <row r="15" spans="1:37" hidden="1" x14ac:dyDescent="0.25">
      <c r="A15" s="6"/>
      <c r="B15" s="603"/>
      <c r="C15" s="10"/>
      <c r="D15" s="10"/>
      <c r="E15" s="10"/>
      <c r="F15" s="10"/>
      <c r="G15" s="10"/>
      <c r="H15" s="10"/>
      <c r="I15" s="141"/>
      <c r="J15" s="141"/>
      <c r="K15" s="10"/>
      <c r="L15" s="6"/>
      <c r="M15" s="181"/>
      <c r="N15" s="181"/>
      <c r="O15" s="6"/>
      <c r="P15" s="6"/>
      <c r="Q15" s="6"/>
      <c r="R15" s="6"/>
      <c r="S15" s="187"/>
      <c r="T15" s="6"/>
      <c r="U15" s="6"/>
      <c r="V15" s="6"/>
      <c r="W15" s="6"/>
      <c r="X15" s="6"/>
      <c r="Y15" s="6"/>
      <c r="Z15" s="6"/>
      <c r="AA15" s="6"/>
      <c r="AB15" s="6"/>
      <c r="AC15" s="6"/>
      <c r="AD15" s="6"/>
      <c r="AE15" s="6"/>
      <c r="AF15" s="6"/>
      <c r="AG15" s="6"/>
      <c r="AH15" s="6"/>
      <c r="AI15" s="6"/>
      <c r="AJ15" s="6"/>
      <c r="AK15" s="6"/>
    </row>
    <row r="16" spans="1:37" ht="88.5" hidden="1" customHeight="1" x14ac:dyDescent="0.25">
      <c r="A16" s="6"/>
      <c r="B16" s="603"/>
      <c r="C16" s="10"/>
      <c r="D16" s="10"/>
      <c r="E16" s="10"/>
      <c r="F16" s="10"/>
      <c r="G16" s="10"/>
      <c r="H16" s="10"/>
      <c r="I16" s="141"/>
      <c r="J16" s="141"/>
      <c r="K16" s="10"/>
      <c r="L16" s="6"/>
      <c r="M16" s="181"/>
      <c r="N16" s="181"/>
      <c r="O16" s="6"/>
      <c r="P16" s="6"/>
      <c r="Q16" s="6"/>
      <c r="R16" s="6"/>
      <c r="S16" s="187"/>
      <c r="T16" s="6"/>
      <c r="U16" s="6"/>
      <c r="V16" s="6"/>
      <c r="W16" s="6"/>
      <c r="X16" s="6"/>
      <c r="Y16" s="6"/>
      <c r="Z16" s="6"/>
      <c r="AA16" s="6"/>
      <c r="AB16" s="6"/>
      <c r="AC16" s="6"/>
      <c r="AD16" s="6"/>
      <c r="AE16" s="6"/>
      <c r="AF16" s="6"/>
      <c r="AG16" s="6"/>
      <c r="AH16" s="6"/>
      <c r="AI16" s="6"/>
      <c r="AJ16" s="6"/>
      <c r="AK16" s="6"/>
    </row>
    <row r="17" spans="1:37" hidden="1" x14ac:dyDescent="0.25">
      <c r="A17" s="6"/>
      <c r="B17" s="6"/>
      <c r="C17" s="10"/>
      <c r="D17" s="10"/>
      <c r="E17" s="10"/>
      <c r="F17" s="10"/>
      <c r="G17" s="10"/>
      <c r="H17" s="10"/>
      <c r="I17" s="141"/>
      <c r="J17" s="141"/>
      <c r="K17" s="10"/>
      <c r="L17" s="6"/>
      <c r="M17" s="181"/>
      <c r="N17" s="181"/>
      <c r="O17" s="6"/>
      <c r="P17" s="6"/>
      <c r="Q17" s="6"/>
      <c r="R17" s="188"/>
      <c r="S17" s="188"/>
      <c r="T17" s="6"/>
      <c r="U17" s="6"/>
      <c r="V17" s="6"/>
      <c r="W17" s="6"/>
      <c r="X17" s="6"/>
      <c r="Y17" s="6"/>
      <c r="Z17" s="6"/>
      <c r="AA17" s="6"/>
      <c r="AB17" s="6"/>
      <c r="AC17" s="6"/>
      <c r="AD17" s="6"/>
      <c r="AE17" s="6"/>
      <c r="AF17" s="6"/>
      <c r="AG17" s="6"/>
      <c r="AH17" s="6"/>
      <c r="AI17" s="6"/>
      <c r="AJ17" s="6"/>
      <c r="AK17" s="6"/>
    </row>
    <row r="18" spans="1:37" ht="14.4" hidden="1" thickBot="1" x14ac:dyDescent="0.3">
      <c r="A18" s="6"/>
      <c r="B18" s="189" t="s">
        <v>26</v>
      </c>
      <c r="C18" s="189"/>
      <c r="D18" s="189"/>
      <c r="E18" s="189"/>
      <c r="F18" s="190" t="e">
        <f>SUM(F8:F17)</f>
        <v>#REF!</v>
      </c>
      <c r="G18" s="190" t="e">
        <f>SUM(G8:G17)</f>
        <v>#REF!</v>
      </c>
      <c r="H18" s="190" t="e">
        <f>SUM(H8:H17)</f>
        <v>#REF!</v>
      </c>
      <c r="I18" s="190" t="e">
        <f>SUM(I8:I17)</f>
        <v>#REF!</v>
      </c>
      <c r="J18" s="190"/>
      <c r="K18" s="189"/>
      <c r="L18" s="189"/>
      <c r="M18" s="191" t="e">
        <f>SUM(M8:M17)</f>
        <v>#REF!</v>
      </c>
      <c r="N18" s="191" t="e">
        <f>SUM(N8:N17)</f>
        <v>#REF!</v>
      </c>
      <c r="O18" s="188"/>
      <c r="P18" s="6"/>
      <c r="Q18" s="6"/>
      <c r="R18" s="188"/>
      <c r="T18" s="6"/>
      <c r="U18" s="6"/>
      <c r="V18" s="192"/>
      <c r="W18" s="6"/>
      <c r="X18" s="6"/>
      <c r="Y18" s="6"/>
      <c r="Z18" s="6"/>
      <c r="AA18" s="6"/>
      <c r="AB18" s="6"/>
      <c r="AC18" s="6"/>
      <c r="AD18" s="6"/>
      <c r="AE18" s="6"/>
      <c r="AF18" s="6"/>
      <c r="AG18" s="6"/>
      <c r="AH18" s="6"/>
      <c r="AI18" s="6"/>
      <c r="AJ18" s="6"/>
      <c r="AK18" s="6"/>
    </row>
    <row r="19" spans="1:37" hidden="1" x14ac:dyDescent="0.25">
      <c r="A19" s="6"/>
      <c r="B19" s="6"/>
      <c r="C19" s="6"/>
      <c r="D19" s="6"/>
      <c r="E19" s="6"/>
      <c r="F19" s="6"/>
      <c r="G19" s="6"/>
      <c r="H19" s="6"/>
      <c r="I19" s="188"/>
      <c r="J19" s="188"/>
      <c r="K19" s="6"/>
      <c r="L19" s="6"/>
      <c r="M19" s="6"/>
      <c r="N19" s="6"/>
      <c r="O19" s="181"/>
      <c r="P19" s="188"/>
      <c r="Q19" s="193"/>
      <c r="R19" s="188"/>
      <c r="S19" s="188"/>
      <c r="T19" s="6"/>
      <c r="U19" s="6"/>
      <c r="V19" s="6"/>
      <c r="W19" s="6"/>
      <c r="X19" s="6"/>
      <c r="Y19" s="6"/>
      <c r="Z19" s="6"/>
      <c r="AA19" s="6"/>
      <c r="AB19" s="6"/>
      <c r="AC19" s="6"/>
      <c r="AD19" s="6"/>
      <c r="AE19" s="6"/>
      <c r="AF19" s="6"/>
      <c r="AG19" s="6"/>
      <c r="AH19" s="6"/>
      <c r="AI19" s="6"/>
      <c r="AJ19" s="6"/>
      <c r="AK19" s="6"/>
    </row>
    <row r="20" spans="1:37" hidden="1" x14ac:dyDescent="0.25">
      <c r="A20" s="6"/>
      <c r="B20" s="6"/>
      <c r="C20" s="6"/>
      <c r="D20" s="6"/>
      <c r="E20" s="6"/>
      <c r="F20" s="6"/>
      <c r="G20" s="6"/>
      <c r="H20" s="6"/>
      <c r="I20" s="188"/>
      <c r="J20" s="188"/>
      <c r="K20" s="6"/>
      <c r="L20" s="6"/>
      <c r="M20" s="6"/>
      <c r="N20" s="6"/>
      <c r="O20" s="181"/>
      <c r="P20" s="188"/>
      <c r="Q20" s="194"/>
      <c r="R20" s="188"/>
      <c r="S20" s="188"/>
      <c r="T20" s="6"/>
      <c r="U20" s="6"/>
      <c r="V20" s="6"/>
      <c r="W20" s="6"/>
      <c r="X20" s="6"/>
      <c r="Y20" s="6"/>
      <c r="Z20" s="6"/>
      <c r="AA20" s="6"/>
      <c r="AB20" s="6"/>
      <c r="AC20" s="6"/>
      <c r="AD20" s="6"/>
      <c r="AE20" s="6"/>
      <c r="AF20" s="6"/>
      <c r="AG20" s="6"/>
      <c r="AH20" s="6"/>
      <c r="AI20" s="6"/>
      <c r="AJ20" s="6"/>
      <c r="AK20" s="6"/>
    </row>
    <row r="21" spans="1:37" x14ac:dyDescent="0.25">
      <c r="A21" s="6"/>
      <c r="B21" s="6"/>
      <c r="C21" s="6"/>
      <c r="D21" s="6"/>
      <c r="E21" s="6"/>
      <c r="F21" s="6"/>
      <c r="G21" s="6"/>
      <c r="H21" s="6"/>
      <c r="I21" s="188"/>
      <c r="J21" s="188"/>
      <c r="K21" s="6"/>
      <c r="L21" s="6"/>
      <c r="M21" s="6"/>
      <c r="N21" s="6"/>
      <c r="O21" s="181"/>
      <c r="P21" s="6"/>
      <c r="Q21" s="432"/>
      <c r="R21" s="6"/>
      <c r="S21" s="6"/>
      <c r="T21" s="6"/>
      <c r="U21" s="6"/>
      <c r="V21" s="6"/>
      <c r="W21" s="6"/>
      <c r="X21" s="6"/>
      <c r="Y21" s="6"/>
      <c r="Z21" s="6"/>
      <c r="AA21" s="6"/>
      <c r="AB21" s="6"/>
      <c r="AC21" s="6"/>
      <c r="AD21" s="6"/>
      <c r="AE21" s="6"/>
      <c r="AF21" s="6"/>
      <c r="AG21" s="6"/>
      <c r="AH21" s="6"/>
      <c r="AI21" s="6"/>
      <c r="AJ21" s="6"/>
      <c r="AK21" s="6"/>
    </row>
    <row r="22" spans="1:37" ht="44.25" customHeight="1" x14ac:dyDescent="0.3">
      <c r="A22" s="6"/>
      <c r="B22" s="383" t="s">
        <v>35</v>
      </c>
      <c r="C22" s="383" t="s">
        <v>2</v>
      </c>
      <c r="D22" s="383" t="s">
        <v>3</v>
      </c>
      <c r="E22" s="384" t="s">
        <v>23</v>
      </c>
      <c r="F22" s="384" t="s">
        <v>5</v>
      </c>
      <c r="G22" s="384" t="s">
        <v>11</v>
      </c>
      <c r="H22" s="383" t="s">
        <v>6</v>
      </c>
      <c r="I22" s="384" t="s">
        <v>24</v>
      </c>
      <c r="J22" s="384"/>
      <c r="K22" s="383" t="s">
        <v>25</v>
      </c>
      <c r="L22" s="385"/>
      <c r="M22" s="384" t="s">
        <v>5</v>
      </c>
      <c r="N22" s="384" t="s">
        <v>21</v>
      </c>
      <c r="O22" s="181"/>
      <c r="P22" s="433"/>
      <c r="Q22" s="195"/>
      <c r="R22" s="195"/>
      <c r="S22" s="6"/>
      <c r="T22" s="6"/>
      <c r="U22" s="6"/>
      <c r="V22" s="195"/>
      <c r="W22" s="195"/>
      <c r="X22" s="195"/>
      <c r="Y22" s="6"/>
      <c r="Z22" s="6"/>
      <c r="AA22" s="6"/>
      <c r="AB22" s="6"/>
      <c r="AC22" s="6"/>
      <c r="AD22" s="6"/>
      <c r="AE22" s="6"/>
      <c r="AF22" s="6"/>
      <c r="AG22" s="6"/>
      <c r="AH22" s="6"/>
      <c r="AI22" s="6"/>
      <c r="AJ22" s="6"/>
      <c r="AK22" s="6"/>
    </row>
    <row r="23" spans="1:37" x14ac:dyDescent="0.25">
      <c r="A23" s="6"/>
      <c r="B23" s="177"/>
      <c r="C23" s="177"/>
      <c r="D23" s="177"/>
      <c r="E23" s="178"/>
      <c r="F23" s="178"/>
      <c r="G23" s="178"/>
      <c r="H23" s="177"/>
      <c r="I23" s="178"/>
      <c r="J23" s="178"/>
      <c r="K23" s="178"/>
      <c r="L23" s="6"/>
      <c r="M23" s="6"/>
      <c r="N23" s="6"/>
      <c r="O23" s="181"/>
      <c r="P23" s="177"/>
      <c r="Q23" s="6"/>
      <c r="R23" s="6"/>
      <c r="S23" s="6"/>
      <c r="T23" s="6"/>
      <c r="U23" s="6"/>
      <c r="V23" s="6"/>
      <c r="W23" s="6"/>
      <c r="X23" s="6"/>
      <c r="Y23" s="6"/>
      <c r="Z23" s="6"/>
      <c r="AA23" s="6"/>
      <c r="AB23" s="6"/>
      <c r="AC23" s="6"/>
      <c r="AD23" s="6"/>
      <c r="AE23" s="6"/>
      <c r="AF23" s="6"/>
      <c r="AG23" s="6"/>
      <c r="AH23" s="6"/>
      <c r="AI23" s="6"/>
      <c r="AJ23" s="6"/>
      <c r="AK23" s="6"/>
    </row>
    <row r="24" spans="1:37" x14ac:dyDescent="0.25">
      <c r="A24" s="6"/>
      <c r="B24" s="604" t="s">
        <v>304</v>
      </c>
      <c r="C24" s="10" t="s">
        <v>31</v>
      </c>
      <c r="D24" s="6"/>
      <c r="E24" s="6"/>
      <c r="F24" s="6">
        <f>INPUT!F8</f>
        <v>0</v>
      </c>
      <c r="G24" s="429">
        <f>INPUT!F8*INPUT!G8</f>
        <v>0</v>
      </c>
      <c r="H24" s="6">
        <f>G24*E58</f>
        <v>0</v>
      </c>
      <c r="I24" s="66">
        <f>((F58+F59+F60+F61)/4)*G24</f>
        <v>0</v>
      </c>
      <c r="J24" s="66"/>
      <c r="K24" s="24">
        <f>INPUT!G8</f>
        <v>0</v>
      </c>
      <c r="L24" s="6"/>
      <c r="M24" s="181" t="e">
        <f>H24/$H$33</f>
        <v>#DIV/0!</v>
      </c>
      <c r="N24" s="181" t="e">
        <f>I24/$I$33</f>
        <v>#DIV/0!</v>
      </c>
      <c r="O24" s="181"/>
      <c r="P24" s="6"/>
      <c r="Q24" s="6"/>
      <c r="R24" s="6"/>
      <c r="S24" s="6"/>
      <c r="T24" s="6"/>
      <c r="U24" s="6"/>
      <c r="V24" s="6"/>
      <c r="W24" s="6"/>
      <c r="X24" s="6"/>
      <c r="Y24" s="6"/>
      <c r="Z24" s="6"/>
      <c r="AA24" s="6"/>
      <c r="AB24" s="6"/>
      <c r="AC24" s="6"/>
      <c r="AD24" s="6"/>
      <c r="AE24" s="6"/>
      <c r="AF24" s="6"/>
      <c r="AG24" s="6"/>
      <c r="AH24" s="6"/>
      <c r="AI24" s="6"/>
      <c r="AJ24" s="6"/>
      <c r="AK24" s="6"/>
    </row>
    <row r="25" spans="1:37" x14ac:dyDescent="0.25">
      <c r="A25" s="6"/>
      <c r="B25" s="604"/>
      <c r="C25" s="10"/>
      <c r="D25" s="6"/>
      <c r="E25" s="6"/>
      <c r="F25" s="6"/>
      <c r="G25" s="429"/>
      <c r="H25" s="6"/>
      <c r="I25" s="6"/>
      <c r="J25" s="6"/>
      <c r="K25" s="24"/>
      <c r="L25" s="6"/>
      <c r="M25" s="181" t="e">
        <f>H25/$H$33</f>
        <v>#DIV/0!</v>
      </c>
      <c r="N25" s="181"/>
      <c r="O25" s="6"/>
      <c r="P25" s="6"/>
      <c r="Q25" s="6"/>
      <c r="R25" s="6"/>
      <c r="S25" s="6"/>
      <c r="T25" s="6"/>
      <c r="U25" s="6"/>
      <c r="V25" s="6"/>
      <c r="W25" s="6"/>
      <c r="X25" s="6"/>
      <c r="Y25" s="6"/>
      <c r="Z25" s="6"/>
      <c r="AA25" s="6"/>
      <c r="AB25" s="6"/>
      <c r="AC25" s="6"/>
      <c r="AD25" s="6"/>
      <c r="AE25" s="6"/>
      <c r="AF25" s="6"/>
      <c r="AG25" s="6"/>
      <c r="AH25" s="6"/>
      <c r="AI25" s="6"/>
      <c r="AJ25" s="6"/>
      <c r="AK25" s="6"/>
    </row>
    <row r="26" spans="1:37" x14ac:dyDescent="0.25">
      <c r="A26" s="6"/>
      <c r="B26" s="604"/>
      <c r="C26" s="9" t="s">
        <v>105</v>
      </c>
      <c r="D26" s="196"/>
      <c r="E26" s="197"/>
      <c r="F26" s="430">
        <f>INPUT!F13</f>
        <v>0</v>
      </c>
      <c r="G26" s="429">
        <f>INPUT!F13*INPUT!G13</f>
        <v>0</v>
      </c>
      <c r="H26" s="430">
        <f>G26*E57</f>
        <v>0</v>
      </c>
      <c r="I26" s="429">
        <f>(F57+G57)*G26</f>
        <v>0</v>
      </c>
      <c r="J26" s="429"/>
      <c r="K26" s="24">
        <f>INPUT!G13</f>
        <v>0</v>
      </c>
      <c r="L26" s="184"/>
      <c r="M26" s="181" t="e">
        <f>H26/$H$33</f>
        <v>#DIV/0!</v>
      </c>
      <c r="N26" s="181" t="e">
        <f>I26/$I$33</f>
        <v>#DIV/0!</v>
      </c>
      <c r="O26" s="6"/>
      <c r="P26" s="430"/>
      <c r="Q26" s="6"/>
      <c r="R26" s="6"/>
      <c r="S26" s="6"/>
      <c r="T26" s="6"/>
      <c r="U26" s="6"/>
      <c r="V26" s="6"/>
      <c r="W26" s="6"/>
      <c r="X26" s="6"/>
      <c r="Y26" s="6"/>
      <c r="Z26" s="6"/>
      <c r="AA26" s="6"/>
      <c r="AB26" s="6"/>
      <c r="AC26" s="6"/>
      <c r="AD26" s="6"/>
      <c r="AE26" s="6"/>
      <c r="AF26" s="6"/>
      <c r="AG26" s="6"/>
      <c r="AH26" s="6"/>
      <c r="AI26" s="6"/>
      <c r="AJ26" s="6"/>
      <c r="AK26" s="6"/>
    </row>
    <row r="27" spans="1:37" x14ac:dyDescent="0.25">
      <c r="A27" s="6"/>
      <c r="B27" s="604"/>
      <c r="C27" s="9"/>
      <c r="D27" s="196"/>
      <c r="E27" s="197"/>
      <c r="F27" s="430"/>
      <c r="G27" s="429"/>
      <c r="H27" s="430"/>
      <c r="I27" s="429"/>
      <c r="J27" s="429"/>
      <c r="K27" s="431"/>
      <c r="L27" s="185"/>
      <c r="M27" s="181" t="e">
        <f>H27/$H$33</f>
        <v>#DIV/0!</v>
      </c>
      <c r="N27" s="181"/>
      <c r="O27" s="6"/>
      <c r="P27" s="430"/>
      <c r="Q27" s="6"/>
      <c r="R27" s="6"/>
      <c r="S27" s="6"/>
      <c r="T27" s="6"/>
      <c r="U27" s="6"/>
      <c r="V27" s="6"/>
      <c r="W27" s="6"/>
      <c r="X27" s="6"/>
      <c r="Y27" s="6"/>
      <c r="Z27" s="6"/>
      <c r="AA27" s="6"/>
      <c r="AB27" s="6"/>
      <c r="AC27" s="6"/>
      <c r="AD27" s="6"/>
      <c r="AE27" s="6"/>
      <c r="AF27" s="6"/>
      <c r="AG27" s="6"/>
      <c r="AH27" s="6"/>
      <c r="AI27" s="6"/>
      <c r="AJ27" s="6"/>
      <c r="AK27" s="6"/>
    </row>
    <row r="28" spans="1:37" x14ac:dyDescent="0.25">
      <c r="A28" s="6"/>
      <c r="B28" s="604"/>
      <c r="C28" s="10" t="s">
        <v>115</v>
      </c>
      <c r="D28" s="6"/>
      <c r="E28" s="6"/>
      <c r="F28" s="6">
        <f>INPUT!F18</f>
        <v>0</v>
      </c>
      <c r="G28" s="6">
        <f>INPUT!F18*INPUT!G18</f>
        <v>0</v>
      </c>
      <c r="H28" s="188">
        <f>G28*E54</f>
        <v>0</v>
      </c>
      <c r="I28" s="188">
        <f>G28*((F54+G54)+(F53+G53))/2</f>
        <v>0</v>
      </c>
      <c r="J28" s="188"/>
      <c r="K28" s="24">
        <f>INPUT!G18</f>
        <v>0</v>
      </c>
      <c r="L28" s="6"/>
      <c r="M28" s="181" t="e">
        <f>H28/$H$33</f>
        <v>#DIV/0!</v>
      </c>
      <c r="N28" s="181" t="e">
        <f>I28/$I$33</f>
        <v>#DIV/0!</v>
      </c>
      <c r="O28" s="6"/>
      <c r="P28" s="188"/>
      <c r="Q28" s="6"/>
      <c r="R28" s="6"/>
      <c r="S28" s="6"/>
      <c r="T28" s="6"/>
      <c r="U28" s="6"/>
      <c r="V28" s="6"/>
      <c r="W28" s="6"/>
      <c r="X28" s="6"/>
      <c r="Y28" s="6"/>
      <c r="Z28" s="6"/>
      <c r="AA28" s="6"/>
      <c r="AB28" s="6"/>
      <c r="AC28" s="6"/>
      <c r="AD28" s="6"/>
      <c r="AE28" s="6"/>
      <c r="AF28" s="6"/>
      <c r="AG28" s="6"/>
      <c r="AH28" s="6"/>
      <c r="AI28" s="6"/>
      <c r="AJ28" s="6"/>
      <c r="AK28" s="6"/>
    </row>
    <row r="29" spans="1:37" x14ac:dyDescent="0.25">
      <c r="A29" s="6"/>
      <c r="B29" s="604"/>
      <c r="C29" s="10"/>
      <c r="D29" s="6"/>
      <c r="E29" s="6"/>
      <c r="F29" s="6"/>
      <c r="G29" s="6"/>
      <c r="H29" s="6"/>
      <c r="I29" s="188"/>
      <c r="J29" s="188"/>
      <c r="K29" s="24"/>
      <c r="L29" s="6"/>
      <c r="M29" s="181"/>
      <c r="N29" s="181"/>
      <c r="O29" s="6"/>
      <c r="P29" s="6"/>
      <c r="Q29" s="6"/>
      <c r="R29" s="6"/>
      <c r="S29" s="6"/>
      <c r="T29" s="6"/>
      <c r="U29" s="6"/>
      <c r="V29" s="6"/>
      <c r="W29" s="6"/>
      <c r="X29" s="6"/>
      <c r="Y29" s="6"/>
      <c r="Z29" s="6"/>
      <c r="AA29" s="6"/>
      <c r="AB29" s="6"/>
      <c r="AC29" s="6"/>
      <c r="AD29" s="6"/>
      <c r="AE29" s="6"/>
      <c r="AF29" s="6"/>
      <c r="AG29" s="6"/>
      <c r="AH29" s="6"/>
      <c r="AI29" s="6"/>
      <c r="AJ29" s="6"/>
      <c r="AK29" s="6"/>
    </row>
    <row r="30" spans="1:37" x14ac:dyDescent="0.25">
      <c r="A30" s="6"/>
      <c r="B30" s="604"/>
      <c r="C30" s="10"/>
      <c r="D30" s="6"/>
      <c r="E30" s="6"/>
      <c r="F30" s="6"/>
      <c r="G30" s="6"/>
      <c r="H30" s="6"/>
      <c r="I30" s="188"/>
      <c r="J30" s="188"/>
      <c r="K30" s="6"/>
      <c r="L30" s="6"/>
      <c r="M30" s="181"/>
      <c r="N30" s="181"/>
      <c r="O30" s="6"/>
      <c r="P30" s="6"/>
      <c r="Q30" s="6"/>
      <c r="R30" s="6"/>
      <c r="S30" s="6"/>
      <c r="T30" s="6"/>
      <c r="U30" s="6"/>
      <c r="V30" s="6"/>
      <c r="W30" s="6"/>
      <c r="X30" s="6"/>
      <c r="Y30" s="6"/>
      <c r="Z30" s="6"/>
      <c r="AA30" s="6"/>
      <c r="AB30" s="6"/>
      <c r="AC30" s="6"/>
      <c r="AD30" s="6"/>
      <c r="AE30" s="6"/>
      <c r="AF30" s="6"/>
      <c r="AG30" s="6"/>
      <c r="AH30" s="6"/>
      <c r="AI30" s="6"/>
      <c r="AJ30" s="6"/>
      <c r="AK30" s="6"/>
    </row>
    <row r="31" spans="1:37" x14ac:dyDescent="0.25">
      <c r="A31" s="6"/>
      <c r="B31" s="604"/>
      <c r="C31" s="10"/>
      <c r="D31" s="6"/>
      <c r="E31" s="6"/>
      <c r="F31" s="6"/>
      <c r="G31" s="6"/>
      <c r="H31" s="6"/>
      <c r="I31" s="188"/>
      <c r="J31" s="188"/>
      <c r="K31" s="6"/>
      <c r="L31" s="6"/>
      <c r="M31" s="181"/>
      <c r="N31" s="181"/>
      <c r="O31" s="6"/>
      <c r="P31" s="6"/>
      <c r="Q31" s="6"/>
      <c r="R31" s="6"/>
      <c r="S31" s="6"/>
      <c r="T31" s="6"/>
      <c r="U31" s="6"/>
      <c r="V31" s="6"/>
      <c r="W31" s="6"/>
      <c r="X31" s="6"/>
      <c r="Y31" s="6"/>
      <c r="Z31" s="6"/>
      <c r="AA31" s="6"/>
      <c r="AB31" s="6"/>
      <c r="AC31" s="6"/>
      <c r="AD31" s="6"/>
      <c r="AE31" s="6"/>
      <c r="AF31" s="6"/>
      <c r="AG31" s="6"/>
      <c r="AH31" s="6"/>
      <c r="AI31" s="6"/>
      <c r="AJ31" s="6"/>
      <c r="AK31" s="6"/>
    </row>
    <row r="32" spans="1:37" x14ac:dyDescent="0.25">
      <c r="A32" s="6"/>
      <c r="B32" s="6"/>
      <c r="C32" s="10"/>
      <c r="D32" s="6"/>
      <c r="E32" s="6"/>
      <c r="F32" s="6"/>
      <c r="G32" s="6"/>
      <c r="H32" s="6"/>
      <c r="I32" s="188"/>
      <c r="J32" s="188"/>
      <c r="K32" s="6"/>
      <c r="L32" s="6"/>
      <c r="M32" s="181"/>
      <c r="N32" s="181"/>
      <c r="O32" s="6"/>
      <c r="P32" s="6"/>
      <c r="Q32" s="6"/>
      <c r="R32" s="6"/>
      <c r="S32" s="6"/>
      <c r="T32" s="6"/>
      <c r="U32" s="6"/>
      <c r="V32" s="6"/>
      <c r="W32" s="6"/>
      <c r="X32" s="6"/>
      <c r="Y32" s="6"/>
      <c r="Z32" s="6"/>
      <c r="AA32" s="6"/>
      <c r="AB32" s="6"/>
      <c r="AC32" s="6"/>
      <c r="AD32" s="6"/>
      <c r="AE32" s="6"/>
      <c r="AF32" s="6"/>
      <c r="AG32" s="6"/>
      <c r="AH32" s="6"/>
      <c r="AI32" s="6"/>
      <c r="AJ32" s="6"/>
      <c r="AK32" s="6"/>
    </row>
    <row r="33" spans="1:37" ht="14.4" thickBot="1" x14ac:dyDescent="0.3">
      <c r="A33" s="6"/>
      <c r="B33" s="189" t="s">
        <v>26</v>
      </c>
      <c r="C33" s="189"/>
      <c r="D33" s="189"/>
      <c r="E33" s="189"/>
      <c r="F33" s="190">
        <f>SUM(F23:F32)</f>
        <v>0</v>
      </c>
      <c r="G33" s="190">
        <f>SUM(G23:G32)</f>
        <v>0</v>
      </c>
      <c r="H33" s="190">
        <f>SUM(H23:H32)</f>
        <v>0</v>
      </c>
      <c r="I33" s="190">
        <f>SUM(I23:I32)</f>
        <v>0</v>
      </c>
      <c r="J33" s="190"/>
      <c r="K33" s="189"/>
      <c r="L33" s="189"/>
      <c r="M33" s="191" t="e">
        <f>SUM(M23:M32)</f>
        <v>#DIV/0!</v>
      </c>
      <c r="N33" s="191" t="e">
        <f>SUM(N23:N32)</f>
        <v>#DIV/0!</v>
      </c>
      <c r="O33" s="188"/>
      <c r="P33" s="188"/>
      <c r="Q33" s="6"/>
      <c r="R33" s="6"/>
      <c r="S33" s="6"/>
      <c r="T33" s="6"/>
      <c r="U33" s="6"/>
      <c r="V33" s="6"/>
      <c r="W33" s="6"/>
      <c r="X33" s="6"/>
      <c r="Y33" s="6"/>
      <c r="Z33" s="6"/>
      <c r="AA33" s="6"/>
      <c r="AB33" s="6"/>
      <c r="AC33" s="6"/>
      <c r="AD33" s="6"/>
      <c r="AE33" s="6"/>
      <c r="AF33" s="6"/>
      <c r="AG33" s="6"/>
      <c r="AH33" s="6"/>
      <c r="AI33" s="6"/>
      <c r="AJ33" s="6"/>
      <c r="AK33" s="6"/>
    </row>
    <row r="34" spans="1:37" ht="14.4" thickTop="1" x14ac:dyDescent="0.25">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row>
    <row r="35" spans="1:37" ht="14.4" x14ac:dyDescent="0.3">
      <c r="A35" s="6"/>
      <c r="B35" s="6"/>
      <c r="C35" s="6"/>
      <c r="D35" s="6"/>
      <c r="E35" s="6"/>
      <c r="F35" s="6"/>
      <c r="G35" s="6"/>
      <c r="H35" s="6"/>
      <c r="I35" s="6"/>
      <c r="J35" s="6"/>
      <c r="K35" s="6"/>
      <c r="L35" s="6"/>
      <c r="M35" s="6"/>
      <c r="N35" s="6"/>
      <c r="O35" s="6"/>
      <c r="P35" s="6"/>
      <c r="Q35" s="6"/>
      <c r="R35" s="6"/>
      <c r="S35" s="6"/>
      <c r="T35" s="6"/>
      <c r="U35" s="6"/>
      <c r="V35" s="195"/>
      <c r="W35" s="195"/>
      <c r="X35" s="195"/>
      <c r="Y35" s="6"/>
      <c r="Z35" s="6"/>
      <c r="AA35" s="6"/>
      <c r="AB35" s="6"/>
      <c r="AC35" s="6"/>
      <c r="AD35" s="6"/>
      <c r="AE35" s="6"/>
      <c r="AF35" s="6"/>
      <c r="AG35" s="6"/>
      <c r="AH35" s="6"/>
      <c r="AI35" s="6"/>
      <c r="AJ35" s="6"/>
      <c r="AK35" s="6"/>
    </row>
    <row r="36" spans="1:37" ht="14.4" x14ac:dyDescent="0.3">
      <c r="A36" s="6"/>
      <c r="B36" s="6"/>
      <c r="C36" s="6"/>
      <c r="D36" s="6"/>
      <c r="E36" s="6"/>
      <c r="F36" s="6"/>
      <c r="G36" s="6"/>
      <c r="H36" s="6"/>
      <c r="I36" s="6"/>
      <c r="J36" s="6"/>
      <c r="K36" s="6"/>
      <c r="L36" s="6"/>
      <c r="M36" s="6"/>
      <c r="N36" s="6"/>
      <c r="O36" s="6"/>
      <c r="P36" s="6"/>
      <c r="Q36" s="6"/>
      <c r="R36" s="6"/>
      <c r="S36" s="6"/>
      <c r="T36" s="6"/>
      <c r="U36" s="6"/>
      <c r="V36" s="195"/>
      <c r="W36" s="195"/>
      <c r="X36" s="195"/>
      <c r="Y36" s="6"/>
      <c r="Z36" s="6"/>
      <c r="AA36" s="6"/>
      <c r="AB36" s="6"/>
      <c r="AC36" s="6"/>
      <c r="AD36" s="6"/>
      <c r="AE36" s="6"/>
      <c r="AF36" s="6"/>
      <c r="AG36" s="6"/>
      <c r="AH36" s="6"/>
      <c r="AI36" s="6"/>
      <c r="AJ36" s="6"/>
      <c r="AK36" s="6"/>
    </row>
    <row r="37" spans="1:37" ht="14.4" x14ac:dyDescent="0.3">
      <c r="A37" s="6"/>
      <c r="B37" s="6"/>
      <c r="C37" s="198"/>
      <c r="D37" s="198"/>
      <c r="E37" s="199"/>
      <c r="F37" s="200"/>
      <c r="G37" s="200"/>
      <c r="H37" s="200"/>
      <c r="I37" s="199"/>
      <c r="J37" s="199"/>
      <c r="K37" s="6"/>
      <c r="L37" s="6"/>
      <c r="M37" s="6"/>
      <c r="N37" s="195"/>
      <c r="O37" s="195"/>
      <c r="P37" s="195"/>
      <c r="Q37" s="195"/>
      <c r="R37" s="195"/>
      <c r="S37" s="195"/>
      <c r="T37" s="195"/>
      <c r="U37" s="6"/>
      <c r="V37" s="195"/>
      <c r="W37" s="195"/>
      <c r="X37" s="195"/>
      <c r="Y37" s="6"/>
      <c r="Z37" s="6"/>
      <c r="AA37" s="6"/>
      <c r="AB37" s="6"/>
      <c r="AC37" s="6"/>
      <c r="AD37" s="6"/>
      <c r="AE37" s="6"/>
      <c r="AF37" s="6"/>
      <c r="AG37" s="6"/>
      <c r="AH37" s="6"/>
      <c r="AI37" s="6"/>
      <c r="AJ37" s="6"/>
      <c r="AK37" s="6"/>
    </row>
    <row r="38" spans="1:37" ht="25.2" x14ac:dyDescent="0.4">
      <c r="A38" s="6"/>
      <c r="B38" s="450" t="s">
        <v>36</v>
      </c>
      <c r="C38" s="201"/>
      <c r="D38" s="202"/>
      <c r="E38" s="203"/>
      <c r="F38" s="203"/>
      <c r="G38" s="203"/>
      <c r="H38" s="203"/>
      <c r="I38" s="204"/>
      <c r="J38" s="6"/>
      <c r="K38" s="6"/>
      <c r="L38" s="6"/>
      <c r="M38" s="6"/>
      <c r="N38" s="195"/>
      <c r="O38" s="195"/>
      <c r="P38" s="195"/>
      <c r="Q38" s="195"/>
      <c r="R38" s="195"/>
      <c r="S38" s="195"/>
      <c r="T38" s="195"/>
      <c r="U38" s="6"/>
      <c r="V38" s="195"/>
      <c r="W38" s="195"/>
      <c r="X38" s="195"/>
      <c r="Y38" s="6"/>
      <c r="Z38" s="6"/>
      <c r="AA38" s="6"/>
      <c r="AB38" s="6"/>
      <c r="AC38" s="6"/>
      <c r="AD38" s="6"/>
      <c r="AE38" s="6"/>
      <c r="AF38" s="6"/>
      <c r="AG38" s="6"/>
      <c r="AH38" s="6"/>
      <c r="AI38" s="6"/>
      <c r="AJ38" s="6"/>
      <c r="AK38" s="6"/>
    </row>
    <row r="39" spans="1:37" ht="27.75" customHeight="1" x14ac:dyDescent="0.3">
      <c r="A39" s="6"/>
      <c r="B39" s="451"/>
      <c r="C39" s="386" t="s">
        <v>20</v>
      </c>
      <c r="D39" s="386" t="s">
        <v>29</v>
      </c>
      <c r="E39" s="387" t="s">
        <v>153</v>
      </c>
      <c r="F39" s="387" t="s">
        <v>32</v>
      </c>
      <c r="G39" s="387" t="s">
        <v>33</v>
      </c>
      <c r="H39" s="387" t="s">
        <v>34</v>
      </c>
      <c r="I39" s="388" t="s">
        <v>4</v>
      </c>
      <c r="J39" s="6"/>
      <c r="K39" s="6"/>
      <c r="L39" s="6"/>
      <c r="M39" s="6"/>
      <c r="N39" s="195"/>
      <c r="O39" s="195"/>
      <c r="P39" s="195"/>
      <c r="Q39" s="195"/>
      <c r="R39" s="195"/>
      <c r="S39" s="195"/>
      <c r="T39" s="195"/>
      <c r="U39" s="6"/>
      <c r="V39" s="195"/>
      <c r="W39" s="195"/>
      <c r="X39" s="195"/>
      <c r="Y39" s="6"/>
      <c r="Z39" s="6"/>
      <c r="AA39" s="6"/>
      <c r="AB39" s="6"/>
      <c r="AC39" s="6"/>
      <c r="AD39" s="6"/>
      <c r="AE39" s="6"/>
      <c r="AF39" s="6"/>
      <c r="AG39" s="6"/>
      <c r="AH39" s="6"/>
      <c r="AI39" s="6"/>
      <c r="AJ39" s="6"/>
      <c r="AK39" s="6"/>
    </row>
    <row r="40" spans="1:37" ht="20.25" hidden="1" customHeight="1" x14ac:dyDescent="0.3">
      <c r="A40" s="6"/>
      <c r="B40" s="596" t="s">
        <v>130</v>
      </c>
      <c r="J40" s="206"/>
      <c r="K40" s="6"/>
      <c r="L40" s="6"/>
      <c r="M40" s="6"/>
      <c r="N40" s="195"/>
      <c r="O40" s="195"/>
      <c r="P40" s="195"/>
      <c r="Q40" s="195"/>
      <c r="R40" s="195"/>
      <c r="S40" s="195"/>
      <c r="T40" s="195"/>
      <c r="U40" s="6"/>
      <c r="V40" s="195"/>
      <c r="W40" s="195"/>
      <c r="X40" s="195"/>
      <c r="Y40" s="6"/>
      <c r="Z40" s="6"/>
      <c r="AA40" s="6"/>
      <c r="AB40" s="6"/>
      <c r="AC40" s="6"/>
      <c r="AD40" s="6"/>
      <c r="AE40" s="6"/>
      <c r="AF40" s="6"/>
      <c r="AG40" s="6"/>
      <c r="AH40" s="6"/>
      <c r="AI40" s="6"/>
      <c r="AJ40" s="6"/>
      <c r="AK40" s="6"/>
    </row>
    <row r="41" spans="1:37" ht="15.75" hidden="1" customHeight="1" x14ac:dyDescent="0.3">
      <c r="A41" s="6"/>
      <c r="B41" s="596"/>
      <c r="C41" s="196" t="s">
        <v>9</v>
      </c>
      <c r="D41" s="196" t="s">
        <v>10</v>
      </c>
      <c r="E41" s="205">
        <v>2.13</v>
      </c>
      <c r="F41" s="205">
        <v>276</v>
      </c>
      <c r="G41" s="205">
        <v>0</v>
      </c>
      <c r="H41" s="205">
        <v>0</v>
      </c>
      <c r="I41" s="207" t="s">
        <v>6</v>
      </c>
      <c r="J41" s="208"/>
      <c r="K41" s="6"/>
      <c r="L41" s="6"/>
      <c r="M41" s="6"/>
      <c r="N41" s="195"/>
      <c r="O41" s="195"/>
      <c r="P41" s="195"/>
      <c r="Q41" s="195"/>
      <c r="R41" s="195"/>
      <c r="S41" s="195"/>
      <c r="T41" s="195"/>
      <c r="U41" s="6"/>
      <c r="V41" s="195"/>
      <c r="W41" s="195"/>
      <c r="X41" s="195"/>
      <c r="Y41" s="6"/>
      <c r="Z41" s="6"/>
      <c r="AA41" s="6"/>
      <c r="AB41" s="6"/>
      <c r="AC41" s="6"/>
      <c r="AD41" s="6"/>
      <c r="AE41" s="6"/>
      <c r="AF41" s="6"/>
      <c r="AG41" s="6"/>
      <c r="AH41" s="6"/>
      <c r="AI41" s="6"/>
      <c r="AJ41" s="6"/>
      <c r="AK41" s="6"/>
    </row>
    <row r="42" spans="1:37" ht="18" hidden="1" customHeight="1" x14ac:dyDescent="0.3">
      <c r="A42" s="6"/>
      <c r="B42" s="596"/>
      <c r="C42" s="196" t="s">
        <v>1</v>
      </c>
      <c r="D42" s="196" t="s">
        <v>12</v>
      </c>
      <c r="E42" s="205">
        <v>2.54</v>
      </c>
      <c r="F42" s="205">
        <v>125.81037037037036</v>
      </c>
      <c r="G42" s="205">
        <v>0</v>
      </c>
      <c r="H42" s="205">
        <v>0</v>
      </c>
      <c r="I42" s="207" t="s">
        <v>5</v>
      </c>
      <c r="J42" s="196"/>
      <c r="K42" s="6"/>
      <c r="L42" s="6"/>
      <c r="M42" s="6"/>
      <c r="N42" s="195"/>
      <c r="O42" s="195"/>
      <c r="P42" s="195"/>
      <c r="Q42" s="195"/>
      <c r="R42" s="195"/>
      <c r="S42" s="195"/>
      <c r="T42" s="195"/>
      <c r="U42" s="6"/>
      <c r="V42" s="195"/>
      <c r="W42" s="195"/>
      <c r="X42" s="195"/>
      <c r="Y42" s="6"/>
      <c r="Z42" s="6"/>
      <c r="AA42" s="6"/>
      <c r="AB42" s="6"/>
      <c r="AC42" s="6"/>
      <c r="AD42" s="6"/>
      <c r="AE42" s="6"/>
      <c r="AF42" s="6"/>
      <c r="AG42" s="6"/>
      <c r="AH42" s="6"/>
      <c r="AI42" s="6"/>
      <c r="AJ42" s="6"/>
      <c r="AK42" s="6"/>
    </row>
    <row r="43" spans="1:37" ht="27" hidden="1" customHeight="1" x14ac:dyDescent="0.3">
      <c r="A43" s="6"/>
      <c r="B43" s="596"/>
      <c r="C43" s="196" t="s">
        <v>1</v>
      </c>
      <c r="D43" s="196" t="s">
        <v>13</v>
      </c>
      <c r="E43" s="188">
        <v>2.54</v>
      </c>
      <c r="F43" s="188">
        <v>58.075787408657639</v>
      </c>
      <c r="G43" s="205">
        <v>0</v>
      </c>
      <c r="H43" s="205">
        <v>0</v>
      </c>
      <c r="I43" s="207" t="s">
        <v>5</v>
      </c>
      <c r="J43" s="196"/>
      <c r="K43" s="6"/>
      <c r="L43" s="6"/>
      <c r="M43" s="6"/>
      <c r="N43" s="195"/>
      <c r="O43" s="195"/>
      <c r="P43" s="195"/>
      <c r="Q43" s="195"/>
      <c r="R43" s="195"/>
      <c r="S43" s="195"/>
      <c r="T43" s="195"/>
      <c r="U43" s="6"/>
      <c r="V43" s="195"/>
      <c r="W43" s="195"/>
      <c r="X43" s="195"/>
      <c r="Y43" s="6"/>
      <c r="Z43" s="6"/>
      <c r="AA43" s="6"/>
      <c r="AB43" s="6"/>
      <c r="AC43" s="6"/>
      <c r="AD43" s="6"/>
      <c r="AE43" s="6"/>
      <c r="AF43" s="6"/>
      <c r="AG43" s="6"/>
      <c r="AH43" s="6"/>
      <c r="AI43" s="6"/>
      <c r="AJ43" s="6"/>
      <c r="AK43" s="6"/>
    </row>
    <row r="44" spans="1:37" ht="17.25" hidden="1" customHeight="1" x14ac:dyDescent="0.3">
      <c r="A44" s="6"/>
      <c r="B44" s="596"/>
      <c r="C44" s="196" t="s">
        <v>1</v>
      </c>
      <c r="D44" s="196" t="s">
        <v>14</v>
      </c>
      <c r="E44" s="205">
        <v>2.54</v>
      </c>
      <c r="F44" s="205">
        <v>58.075787408657639</v>
      </c>
      <c r="G44" s="205">
        <v>0</v>
      </c>
      <c r="H44" s="205">
        <v>0</v>
      </c>
      <c r="I44" s="207" t="s">
        <v>5</v>
      </c>
      <c r="J44" s="196"/>
      <c r="K44" s="6"/>
      <c r="L44" s="6"/>
      <c r="M44" s="6"/>
      <c r="N44" s="195"/>
      <c r="O44" s="195"/>
      <c r="P44" s="195"/>
      <c r="Q44" s="195"/>
      <c r="R44" s="195"/>
      <c r="S44" s="195"/>
      <c r="T44" s="195"/>
      <c r="U44" s="6"/>
      <c r="V44" s="195"/>
      <c r="W44" s="195"/>
      <c r="X44" s="195"/>
      <c r="Y44" s="6"/>
      <c r="Z44" s="6"/>
      <c r="AA44" s="6"/>
      <c r="AB44" s="6"/>
      <c r="AC44" s="6"/>
      <c r="AD44" s="6"/>
      <c r="AE44" s="6"/>
      <c r="AF44" s="6"/>
      <c r="AG44" s="6"/>
      <c r="AH44" s="6"/>
      <c r="AI44" s="6"/>
      <c r="AJ44" s="6"/>
      <c r="AK44" s="6"/>
    </row>
    <row r="45" spans="1:37" ht="18" hidden="1" customHeight="1" x14ac:dyDescent="0.3">
      <c r="A45" s="6"/>
      <c r="B45" s="596"/>
      <c r="C45" s="196" t="s">
        <v>1</v>
      </c>
      <c r="D45" s="196" t="s">
        <v>15</v>
      </c>
      <c r="E45" s="188">
        <v>2.54</v>
      </c>
      <c r="F45" s="205">
        <v>188.71555555555554</v>
      </c>
      <c r="G45" s="205">
        <v>0</v>
      </c>
      <c r="H45" s="205">
        <v>0</v>
      </c>
      <c r="I45" s="207" t="s">
        <v>5</v>
      </c>
      <c r="J45" s="196"/>
      <c r="K45" s="6"/>
      <c r="L45" s="6"/>
      <c r="M45" s="6"/>
      <c r="N45" s="195"/>
      <c r="O45" s="195"/>
      <c r="P45" s="195"/>
      <c r="Q45" s="195"/>
      <c r="R45" s="195"/>
      <c r="S45" s="195"/>
      <c r="T45" s="195"/>
      <c r="U45" s="6"/>
      <c r="V45" s="195"/>
      <c r="W45" s="195"/>
      <c r="X45" s="195"/>
      <c r="Y45" s="6"/>
      <c r="Z45" s="6"/>
      <c r="AA45" s="6"/>
      <c r="AB45" s="6"/>
      <c r="AC45" s="6"/>
      <c r="AD45" s="6"/>
      <c r="AE45" s="6"/>
      <c r="AF45" s="6"/>
      <c r="AG45" s="6"/>
      <c r="AH45" s="6"/>
      <c r="AI45" s="6"/>
      <c r="AJ45" s="6"/>
      <c r="AK45" s="6"/>
    </row>
    <row r="46" spans="1:37" ht="15.75" hidden="1" customHeight="1" x14ac:dyDescent="0.3">
      <c r="A46" s="6"/>
      <c r="B46" s="596"/>
      <c r="C46" s="196" t="s">
        <v>1</v>
      </c>
      <c r="D46" s="196" t="s">
        <v>16</v>
      </c>
      <c r="E46" s="188">
        <v>2.54</v>
      </c>
      <c r="F46" s="188">
        <v>63.082381713570051</v>
      </c>
      <c r="G46" s="188">
        <v>0</v>
      </c>
      <c r="H46" s="188">
        <v>0</v>
      </c>
      <c r="I46" s="207" t="s">
        <v>5</v>
      </c>
      <c r="J46" s="196"/>
      <c r="K46" s="6"/>
      <c r="L46" s="6"/>
      <c r="M46" s="6"/>
      <c r="N46" s="195"/>
      <c r="O46" s="209"/>
      <c r="P46" s="195"/>
      <c r="Q46" s="195"/>
      <c r="R46" s="195"/>
      <c r="S46" s="195"/>
      <c r="T46" s="195"/>
      <c r="U46" s="6"/>
      <c r="V46" s="195"/>
      <c r="W46" s="195"/>
      <c r="X46" s="195"/>
      <c r="Y46" s="6"/>
      <c r="Z46" s="6"/>
      <c r="AA46" s="6"/>
      <c r="AB46" s="6"/>
      <c r="AC46" s="6"/>
      <c r="AD46" s="6"/>
      <c r="AE46" s="6"/>
      <c r="AF46" s="6"/>
      <c r="AG46" s="6"/>
      <c r="AH46" s="6"/>
      <c r="AI46" s="6"/>
      <c r="AJ46" s="6"/>
      <c r="AK46" s="6"/>
    </row>
    <row r="47" spans="1:37" ht="17.25" hidden="1" customHeight="1" x14ac:dyDescent="0.3">
      <c r="A47" s="6"/>
      <c r="B47" s="596"/>
      <c r="C47" s="196" t="s">
        <v>1</v>
      </c>
      <c r="D47" s="196" t="s">
        <v>17</v>
      </c>
      <c r="E47" s="188">
        <v>2.54</v>
      </c>
      <c r="F47" s="188">
        <v>63.082381713570051</v>
      </c>
      <c r="G47" s="188">
        <v>0</v>
      </c>
      <c r="H47" s="188">
        <v>0</v>
      </c>
      <c r="I47" s="207" t="s">
        <v>5</v>
      </c>
      <c r="J47" s="196"/>
      <c r="K47" s="6"/>
      <c r="L47" s="6"/>
      <c r="M47" s="6"/>
      <c r="N47" s="195"/>
      <c r="O47" s="195"/>
      <c r="P47" s="195"/>
      <c r="Q47" s="195"/>
      <c r="R47" s="195"/>
      <c r="S47" s="195"/>
      <c r="T47" s="195"/>
      <c r="U47" s="6"/>
      <c r="V47" s="195"/>
      <c r="W47" s="195"/>
      <c r="X47" s="195"/>
      <c r="Y47" s="6"/>
      <c r="Z47" s="6"/>
      <c r="AA47" s="6"/>
      <c r="AB47" s="6"/>
      <c r="AC47" s="6"/>
      <c r="AD47" s="6"/>
      <c r="AE47" s="6"/>
      <c r="AF47" s="6"/>
      <c r="AG47" s="6"/>
      <c r="AH47" s="6"/>
      <c r="AI47" s="6"/>
      <c r="AJ47" s="6"/>
      <c r="AK47" s="6"/>
    </row>
    <row r="48" spans="1:37" ht="20.25" hidden="1" customHeight="1" x14ac:dyDescent="0.3">
      <c r="A48" s="6"/>
      <c r="B48" s="596"/>
      <c r="C48" s="196" t="s">
        <v>1</v>
      </c>
      <c r="D48" s="196" t="s">
        <v>18</v>
      </c>
      <c r="E48" s="205">
        <v>2.54</v>
      </c>
      <c r="F48" s="205">
        <v>53.271666666666668</v>
      </c>
      <c r="G48" s="205">
        <v>3.3455000000000004</v>
      </c>
      <c r="H48" s="205">
        <v>0</v>
      </c>
      <c r="I48" s="207" t="s">
        <v>5</v>
      </c>
      <c r="J48" s="196"/>
      <c r="K48" s="6"/>
      <c r="L48" s="6"/>
      <c r="M48" s="6"/>
      <c r="N48" s="195"/>
      <c r="O48" s="195"/>
      <c r="P48" s="195"/>
      <c r="Q48" s="195"/>
      <c r="R48" s="195"/>
      <c r="S48" s="195"/>
      <c r="T48" s="195"/>
      <c r="U48" s="6"/>
      <c r="V48" s="6"/>
      <c r="W48" s="6"/>
      <c r="X48" s="6"/>
      <c r="Y48" s="6"/>
      <c r="Z48" s="6"/>
      <c r="AA48" s="6"/>
      <c r="AB48" s="6"/>
      <c r="AC48" s="6"/>
      <c r="AD48" s="6"/>
      <c r="AE48" s="6"/>
      <c r="AF48" s="6"/>
      <c r="AG48" s="6"/>
      <c r="AH48" s="6"/>
      <c r="AI48" s="6"/>
      <c r="AJ48" s="6"/>
      <c r="AK48" s="6"/>
    </row>
    <row r="49" spans="1:37" ht="8.25" hidden="1" customHeight="1" x14ac:dyDescent="0.3">
      <c r="A49" s="6"/>
      <c r="B49" s="596"/>
      <c r="C49" s="196" t="s">
        <v>7</v>
      </c>
      <c r="D49" s="196" t="s">
        <v>8</v>
      </c>
      <c r="E49" s="205">
        <v>1.84</v>
      </c>
      <c r="F49" s="205">
        <v>236.18333333333331</v>
      </c>
      <c r="G49" s="205">
        <v>2.5666666666666664</v>
      </c>
      <c r="H49" s="205">
        <v>-4.1933333333333334</v>
      </c>
      <c r="I49" s="207" t="s">
        <v>6</v>
      </c>
      <c r="J49" s="196"/>
      <c r="K49" s="6"/>
      <c r="L49" s="6"/>
      <c r="M49" s="6"/>
      <c r="N49" s="195"/>
      <c r="O49" s="195"/>
      <c r="P49" s="195"/>
      <c r="Q49" s="6"/>
      <c r="R49" s="6"/>
      <c r="S49" s="6"/>
      <c r="T49" s="6"/>
      <c r="U49" s="6"/>
      <c r="V49" s="6"/>
      <c r="W49" s="6"/>
      <c r="X49" s="6"/>
      <c r="Y49" s="6"/>
      <c r="Z49" s="6"/>
      <c r="AA49" s="6"/>
      <c r="AB49" s="6"/>
      <c r="AC49" s="6"/>
      <c r="AD49" s="6"/>
      <c r="AE49" s="6"/>
      <c r="AF49" s="6"/>
      <c r="AG49" s="6"/>
      <c r="AH49" s="6"/>
      <c r="AI49" s="6"/>
      <c r="AJ49" s="6"/>
      <c r="AK49" s="6"/>
    </row>
    <row r="50" spans="1:37" ht="12.75" hidden="1" customHeight="1" x14ac:dyDescent="0.3">
      <c r="A50" s="6"/>
      <c r="B50" s="23"/>
      <c r="C50" s="196"/>
      <c r="D50" s="196"/>
      <c r="E50" s="196"/>
      <c r="F50" s="208"/>
      <c r="G50" s="208"/>
      <c r="H50" s="208"/>
      <c r="I50" s="196"/>
      <c r="J50" s="210"/>
      <c r="K50" s="6"/>
      <c r="L50" s="6"/>
      <c r="M50" s="6"/>
      <c r="N50" s="195"/>
      <c r="O50" s="195"/>
      <c r="P50" s="195"/>
      <c r="Q50" s="6"/>
      <c r="R50" s="6"/>
      <c r="S50" s="6"/>
      <c r="T50" s="6"/>
      <c r="U50" s="6"/>
      <c r="V50" s="6"/>
      <c r="W50" s="6"/>
      <c r="X50" s="6"/>
      <c r="Y50" s="6"/>
      <c r="Z50" s="6"/>
      <c r="AA50" s="6"/>
      <c r="AB50" s="6"/>
      <c r="AC50" s="6"/>
      <c r="AD50" s="6"/>
      <c r="AE50" s="6"/>
      <c r="AF50" s="6"/>
      <c r="AG50" s="6"/>
      <c r="AH50" s="6"/>
      <c r="AI50" s="6"/>
      <c r="AJ50" s="6"/>
      <c r="AK50" s="6"/>
    </row>
    <row r="51" spans="1:37" ht="22.5" hidden="1" customHeight="1" x14ac:dyDescent="0.3">
      <c r="A51" s="6"/>
      <c r="B51" s="23"/>
      <c r="C51" s="6"/>
      <c r="D51" s="6"/>
      <c r="E51" s="6"/>
      <c r="F51" s="6"/>
      <c r="G51" s="6"/>
      <c r="H51" s="6"/>
      <c r="I51" s="24"/>
      <c r="J51" s="6"/>
      <c r="K51" s="6"/>
      <c r="L51" s="6"/>
      <c r="M51" s="6"/>
      <c r="N51" s="195"/>
      <c r="O51" s="195"/>
      <c r="P51" s="195"/>
      <c r="Q51" s="6"/>
      <c r="R51" s="6"/>
      <c r="S51" s="6"/>
      <c r="T51" s="6"/>
      <c r="U51" s="6"/>
      <c r="V51" s="6"/>
      <c r="W51" s="6"/>
      <c r="X51" s="6"/>
      <c r="Y51" s="6"/>
      <c r="Z51" s="6"/>
      <c r="AA51" s="6"/>
      <c r="AB51" s="6"/>
      <c r="AC51" s="6"/>
      <c r="AD51" s="6"/>
      <c r="AE51" s="6"/>
      <c r="AF51" s="6"/>
      <c r="AG51" s="6"/>
      <c r="AH51" s="6"/>
      <c r="AI51" s="6"/>
      <c r="AJ51" s="6"/>
      <c r="AK51" s="6"/>
    </row>
    <row r="52" spans="1:37" hidden="1" x14ac:dyDescent="0.25">
      <c r="A52" s="6"/>
      <c r="B52" s="23"/>
      <c r="C52" s="6"/>
      <c r="D52" s="6"/>
      <c r="E52" s="6"/>
      <c r="F52" s="6"/>
      <c r="G52" s="6"/>
      <c r="H52" s="6"/>
      <c r="I52" s="24"/>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row>
    <row r="53" spans="1:37" x14ac:dyDescent="0.25">
      <c r="A53" s="6"/>
      <c r="B53" s="605" t="s">
        <v>304</v>
      </c>
      <c r="C53" s="196" t="s">
        <v>143</v>
      </c>
      <c r="D53" s="196" t="s">
        <v>0</v>
      </c>
      <c r="E53" s="211">
        <v>2</v>
      </c>
      <c r="F53" s="212">
        <v>262</v>
      </c>
      <c r="G53" s="208">
        <f>0.00273*2000</f>
        <v>5.46</v>
      </c>
      <c r="H53" s="205"/>
      <c r="I53" s="207" t="s">
        <v>11</v>
      </c>
      <c r="J53" s="196"/>
      <c r="K53" s="6"/>
      <c r="L53" s="597" t="s">
        <v>56</v>
      </c>
      <c r="M53" s="598"/>
      <c r="N53" s="6"/>
      <c r="O53" s="6"/>
      <c r="P53" s="6"/>
      <c r="Q53" s="6"/>
      <c r="R53" s="6"/>
      <c r="S53" s="6"/>
      <c r="T53" s="6"/>
      <c r="U53" s="6"/>
      <c r="V53" s="6"/>
      <c r="W53" s="6"/>
      <c r="X53" s="6"/>
      <c r="Y53" s="6"/>
      <c r="Z53" s="6"/>
      <c r="AA53" s="6"/>
      <c r="AB53" s="6"/>
      <c r="AC53" s="6"/>
      <c r="AD53" s="6"/>
      <c r="AE53" s="6"/>
      <c r="AF53" s="6"/>
      <c r="AG53" s="6"/>
      <c r="AH53" s="6"/>
      <c r="AI53" s="6"/>
      <c r="AJ53" s="6"/>
      <c r="AK53" s="6"/>
    </row>
    <row r="54" spans="1:37" x14ac:dyDescent="0.25">
      <c r="A54" s="6"/>
      <c r="B54" s="605"/>
      <c r="C54" s="196" t="s">
        <v>144</v>
      </c>
      <c r="D54" s="196" t="s">
        <v>19</v>
      </c>
      <c r="E54" s="211">
        <v>2.4</v>
      </c>
      <c r="F54" s="212">
        <v>232</v>
      </c>
      <c r="G54" s="208">
        <f>1.38</f>
        <v>1.38</v>
      </c>
      <c r="H54" s="205"/>
      <c r="I54" s="207" t="s">
        <v>11</v>
      </c>
      <c r="J54" s="196"/>
      <c r="K54" s="6"/>
      <c r="L54" s="599"/>
      <c r="M54" s="600"/>
      <c r="N54" s="6"/>
      <c r="O54" s="6"/>
      <c r="P54" s="6"/>
      <c r="Q54" s="6"/>
      <c r="R54" s="6"/>
      <c r="S54" s="6"/>
      <c r="T54" s="6"/>
      <c r="U54" s="6"/>
      <c r="V54" s="6"/>
      <c r="W54" s="6"/>
      <c r="X54" s="6"/>
      <c r="Y54" s="6"/>
      <c r="Z54" s="6"/>
      <c r="AA54" s="6"/>
      <c r="AB54" s="6"/>
      <c r="AC54" s="6"/>
      <c r="AD54" s="6"/>
      <c r="AE54" s="6"/>
      <c r="AF54" s="6"/>
      <c r="AG54" s="6"/>
      <c r="AH54" s="6"/>
      <c r="AI54" s="6"/>
      <c r="AJ54" s="6"/>
      <c r="AK54" s="6"/>
    </row>
    <row r="55" spans="1:37" ht="0.75" customHeight="1" x14ac:dyDescent="0.25">
      <c r="A55" s="6"/>
      <c r="B55" s="605"/>
      <c r="C55" s="196" t="s">
        <v>145</v>
      </c>
      <c r="D55" s="196" t="s">
        <v>19</v>
      </c>
      <c r="E55" s="211">
        <v>1.2</v>
      </c>
      <c r="F55" s="212">
        <v>95.8</v>
      </c>
      <c r="G55" s="208">
        <f>0.00273*1200</f>
        <v>3.2759999999999998</v>
      </c>
      <c r="H55" s="205"/>
      <c r="I55" s="207" t="s">
        <v>11</v>
      </c>
      <c r="J55" s="196"/>
      <c r="K55" s="6"/>
      <c r="L55" s="599"/>
      <c r="M55" s="600"/>
      <c r="N55" s="6"/>
      <c r="O55" s="6"/>
      <c r="P55" s="6"/>
      <c r="Q55" s="6"/>
      <c r="R55" s="6"/>
      <c r="S55" s="6"/>
      <c r="T55" s="6"/>
      <c r="U55" s="6"/>
      <c r="V55" s="6"/>
      <c r="W55" s="6"/>
      <c r="X55" s="6"/>
      <c r="Y55" s="6"/>
      <c r="Z55" s="6"/>
      <c r="AA55" s="6"/>
      <c r="AB55" s="6"/>
      <c r="AC55" s="6"/>
      <c r="AD55" s="6"/>
      <c r="AE55" s="6"/>
      <c r="AF55" s="6"/>
      <c r="AG55" s="6"/>
      <c r="AH55" s="6"/>
      <c r="AI55" s="6"/>
      <c r="AJ55" s="6"/>
      <c r="AK55" s="6"/>
    </row>
    <row r="56" spans="1:37" ht="1.5" customHeight="1" x14ac:dyDescent="0.25">
      <c r="A56" s="6"/>
      <c r="B56" s="605"/>
      <c r="C56" s="196" t="s">
        <v>146</v>
      </c>
      <c r="D56" s="196" t="s">
        <v>147</v>
      </c>
      <c r="E56" s="211">
        <v>0.20799999999999999</v>
      </c>
      <c r="F56" s="211">
        <v>5.83</v>
      </c>
      <c r="G56" s="208">
        <f>0.00273*208</f>
        <v>0.5678399999999999</v>
      </c>
      <c r="H56" s="205"/>
      <c r="I56" s="207" t="s">
        <v>5</v>
      </c>
      <c r="J56" s="196"/>
      <c r="K56" s="6"/>
      <c r="L56" s="599"/>
      <c r="M56" s="600"/>
      <c r="N56" s="6"/>
      <c r="O56" s="6"/>
      <c r="P56" s="6"/>
      <c r="Q56" s="6"/>
      <c r="R56" s="6"/>
      <c r="S56" s="6"/>
      <c r="T56" s="6"/>
      <c r="U56" s="6"/>
      <c r="V56" s="6"/>
      <c r="W56" s="6"/>
      <c r="X56" s="6"/>
      <c r="Y56" s="6"/>
      <c r="Z56" s="6"/>
      <c r="AA56" s="6"/>
      <c r="AB56" s="6"/>
      <c r="AC56" s="6"/>
      <c r="AD56" s="6"/>
      <c r="AE56" s="6"/>
      <c r="AF56" s="6"/>
      <c r="AG56" s="6"/>
      <c r="AH56" s="6"/>
      <c r="AI56" s="6"/>
      <c r="AJ56" s="6"/>
      <c r="AK56" s="6"/>
    </row>
    <row r="57" spans="1:37" x14ac:dyDescent="0.25">
      <c r="A57" s="6"/>
      <c r="B57" s="605"/>
      <c r="C57" s="196" t="s">
        <v>148</v>
      </c>
      <c r="D57" s="196" t="s">
        <v>147</v>
      </c>
      <c r="E57" s="211">
        <v>2.4</v>
      </c>
      <c r="F57" s="212">
        <f>0.0993*2400</f>
        <v>238.32</v>
      </c>
      <c r="G57" s="213">
        <f>0.00273*2400</f>
        <v>6.5519999999999996</v>
      </c>
      <c r="H57" s="205"/>
      <c r="I57" s="207" t="s">
        <v>11</v>
      </c>
      <c r="J57" s="196"/>
      <c r="K57" s="6"/>
      <c r="L57" s="599"/>
      <c r="M57" s="600"/>
      <c r="N57" s="6"/>
      <c r="O57" s="6"/>
      <c r="P57" s="6"/>
      <c r="Q57" s="6"/>
      <c r="R57" s="6"/>
      <c r="S57" s="6"/>
      <c r="T57" s="6"/>
      <c r="U57" s="6"/>
      <c r="V57" s="6"/>
      <c r="W57" s="6"/>
      <c r="X57" s="6"/>
      <c r="Y57" s="6"/>
      <c r="Z57" s="6"/>
      <c r="AA57" s="6"/>
      <c r="AB57" s="6"/>
      <c r="AC57" s="6"/>
      <c r="AD57" s="6"/>
      <c r="AE57" s="6"/>
      <c r="AF57" s="6"/>
      <c r="AG57" s="6"/>
      <c r="AH57" s="6"/>
      <c r="AI57" s="6"/>
      <c r="AJ57" s="6"/>
      <c r="AK57" s="6"/>
    </row>
    <row r="58" spans="1:37" x14ac:dyDescent="0.25">
      <c r="A58" s="6"/>
      <c r="B58" s="605"/>
      <c r="C58" s="196" t="s">
        <v>31</v>
      </c>
      <c r="D58" s="196" t="s">
        <v>149</v>
      </c>
      <c r="E58" s="211">
        <v>1.85</v>
      </c>
      <c r="F58" s="211">
        <f>0.00285*1800</f>
        <v>5.13</v>
      </c>
      <c r="G58" s="213">
        <f>0.00673*1800</f>
        <v>12.113999999999999</v>
      </c>
      <c r="H58" s="205"/>
      <c r="I58" s="207" t="s">
        <v>11</v>
      </c>
      <c r="J58" s="196"/>
      <c r="K58" s="6"/>
      <c r="L58" s="599"/>
      <c r="M58" s="600"/>
      <c r="N58" s="6"/>
      <c r="O58" s="6"/>
      <c r="P58" s="6"/>
      <c r="Q58" s="6"/>
      <c r="R58" s="6"/>
      <c r="S58" s="6"/>
      <c r="T58" s="6"/>
      <c r="U58" s="6"/>
      <c r="V58" s="6"/>
      <c r="W58" s="6"/>
      <c r="X58" s="6"/>
      <c r="Y58" s="6"/>
      <c r="Z58" s="6"/>
      <c r="AA58" s="6"/>
      <c r="AB58" s="6"/>
      <c r="AC58" s="6"/>
      <c r="AD58" s="6"/>
      <c r="AE58" s="6"/>
      <c r="AF58" s="6"/>
      <c r="AG58" s="6"/>
      <c r="AH58" s="6"/>
      <c r="AI58" s="6"/>
      <c r="AJ58" s="6"/>
      <c r="AK58" s="6"/>
    </row>
    <row r="59" spans="1:37" x14ac:dyDescent="0.25">
      <c r="A59" s="6"/>
      <c r="B59" s="605"/>
      <c r="C59" s="196" t="s">
        <v>31</v>
      </c>
      <c r="D59" s="196" t="s">
        <v>150</v>
      </c>
      <c r="E59" s="211">
        <v>1.85</v>
      </c>
      <c r="F59" s="196">
        <f>0.03326*1700</f>
        <v>56.541999999999994</v>
      </c>
      <c r="G59" s="213">
        <f>0.00734*1700</f>
        <v>12.478</v>
      </c>
      <c r="H59" s="205"/>
      <c r="I59" s="207" t="s">
        <v>11</v>
      </c>
      <c r="J59" s="196"/>
      <c r="K59" s="6"/>
      <c r="L59" s="599"/>
      <c r="M59" s="600"/>
      <c r="N59" s="6"/>
      <c r="O59" s="6"/>
      <c r="P59" s="6"/>
      <c r="Q59" s="6"/>
      <c r="R59" s="6"/>
      <c r="S59" s="6"/>
      <c r="T59" s="6"/>
      <c r="U59" s="6"/>
      <c r="V59" s="6"/>
      <c r="W59" s="6"/>
      <c r="X59" s="6"/>
      <c r="Y59" s="6"/>
      <c r="Z59" s="6"/>
      <c r="AA59" s="6"/>
      <c r="AB59" s="6"/>
      <c r="AC59" s="6"/>
      <c r="AD59" s="6"/>
      <c r="AE59" s="6"/>
      <c r="AF59" s="6"/>
      <c r="AG59" s="6"/>
      <c r="AH59" s="6"/>
      <c r="AI59" s="6"/>
      <c r="AJ59" s="6"/>
      <c r="AK59" s="6"/>
    </row>
    <row r="60" spans="1:37" x14ac:dyDescent="0.25">
      <c r="A60" s="6"/>
      <c r="B60" s="605"/>
      <c r="C60" s="196" t="s">
        <v>31</v>
      </c>
      <c r="D60" s="196" t="s">
        <v>151</v>
      </c>
      <c r="E60" s="211">
        <v>1.35</v>
      </c>
      <c r="F60" s="205">
        <f>0.00285*2000</f>
        <v>5.7</v>
      </c>
      <c r="G60" s="213">
        <f>0.00673*2000</f>
        <v>13.459999999999999</v>
      </c>
      <c r="H60" s="205"/>
      <c r="I60" s="207" t="s">
        <v>11</v>
      </c>
      <c r="J60" s="196"/>
      <c r="K60" s="6"/>
      <c r="L60" s="599"/>
      <c r="M60" s="600"/>
      <c r="N60" s="6"/>
      <c r="O60" s="6"/>
      <c r="P60" s="6"/>
      <c r="Q60" s="6"/>
      <c r="R60" s="6"/>
      <c r="S60" s="6"/>
      <c r="T60" s="6"/>
      <c r="U60" s="6"/>
      <c r="V60" s="6"/>
      <c r="W60" s="6"/>
      <c r="X60" s="6"/>
      <c r="Y60" s="6"/>
      <c r="Z60" s="6"/>
      <c r="AA60" s="6"/>
      <c r="AB60" s="6"/>
      <c r="AC60" s="6"/>
      <c r="AD60" s="6"/>
      <c r="AE60" s="6"/>
      <c r="AF60" s="6"/>
      <c r="AG60" s="6"/>
      <c r="AH60" s="6"/>
      <c r="AI60" s="6"/>
      <c r="AJ60" s="6"/>
      <c r="AK60" s="6"/>
    </row>
    <row r="61" spans="1:37" x14ac:dyDescent="0.25">
      <c r="A61" s="6"/>
      <c r="B61" s="605"/>
      <c r="C61" s="196" t="s">
        <v>31</v>
      </c>
      <c r="D61" s="196" t="s">
        <v>152</v>
      </c>
      <c r="E61" s="211">
        <v>1.35</v>
      </c>
      <c r="F61" s="196">
        <f>0.03326*1900</f>
        <v>63.193999999999996</v>
      </c>
      <c r="G61" s="213">
        <f>0.00734*1900</f>
        <v>13.946</v>
      </c>
      <c r="H61" s="205"/>
      <c r="I61" s="207" t="s">
        <v>11</v>
      </c>
      <c r="J61" s="196"/>
      <c r="K61" s="6"/>
      <c r="L61" s="601"/>
      <c r="M61" s="602"/>
      <c r="N61" s="6"/>
      <c r="O61" s="6"/>
      <c r="P61" s="6"/>
      <c r="Q61" s="6"/>
      <c r="R61" s="6"/>
      <c r="S61" s="6"/>
      <c r="T61" s="6"/>
      <c r="U61" s="6"/>
      <c r="V61" s="6"/>
      <c r="W61" s="6"/>
      <c r="X61" s="6"/>
      <c r="Y61" s="6"/>
      <c r="Z61" s="6"/>
      <c r="AA61" s="6"/>
      <c r="AB61" s="6"/>
      <c r="AC61" s="6"/>
      <c r="AD61" s="6"/>
      <c r="AE61" s="6"/>
      <c r="AF61" s="6"/>
      <c r="AG61" s="6"/>
      <c r="AH61" s="6"/>
      <c r="AI61" s="6"/>
      <c r="AJ61" s="6"/>
      <c r="AK61" s="6"/>
    </row>
    <row r="62" spans="1:37" x14ac:dyDescent="0.25">
      <c r="A62" s="6"/>
      <c r="B62" s="214"/>
      <c r="C62" s="196"/>
      <c r="D62" s="196"/>
      <c r="E62" s="205"/>
      <c r="F62" s="205"/>
      <c r="G62" s="205"/>
      <c r="H62" s="205"/>
      <c r="I62" s="207"/>
      <c r="J62" s="19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row>
    <row r="63" spans="1:37" ht="14.4" x14ac:dyDescent="0.3">
      <c r="A63" s="6"/>
      <c r="B63" s="215"/>
      <c r="C63" s="216"/>
      <c r="D63" s="201"/>
      <c r="E63" s="217"/>
      <c r="F63" s="217"/>
      <c r="G63" s="217"/>
      <c r="H63" s="217"/>
      <c r="I63" s="201"/>
      <c r="J63" s="19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row>
    <row r="64" spans="1:37" x14ac:dyDescent="0.25">
      <c r="A64" s="6"/>
      <c r="B64" s="163"/>
      <c r="C64" s="196"/>
      <c r="D64" s="196"/>
      <c r="E64" s="205"/>
      <c r="F64" s="205"/>
      <c r="G64" s="205"/>
      <c r="H64" s="205"/>
      <c r="I64" s="196"/>
      <c r="J64" s="19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row>
    <row r="65" spans="1:37" ht="14.4" x14ac:dyDescent="0.3">
      <c r="A65" s="6"/>
      <c r="B65" s="163"/>
      <c r="C65" s="196"/>
      <c r="D65" s="196"/>
      <c r="E65" s="218"/>
      <c r="F65" s="218"/>
      <c r="G65" s="218"/>
      <c r="H65" s="218"/>
      <c r="I65" s="196"/>
      <c r="J65" s="19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row>
    <row r="66" spans="1:37" ht="14.4" x14ac:dyDescent="0.3">
      <c r="A66" s="6"/>
      <c r="B66" s="163"/>
      <c r="C66" s="196"/>
      <c r="D66" s="195"/>
      <c r="E66" s="218"/>
      <c r="F66" s="218"/>
      <c r="G66" s="218"/>
      <c r="H66" s="218"/>
      <c r="I66" s="196"/>
      <c r="J66" s="19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row>
    <row r="67" spans="1:37" x14ac:dyDescent="0.25">
      <c r="A67" s="6"/>
      <c r="B67" s="163"/>
      <c r="C67" s="196"/>
      <c r="D67" s="196"/>
      <c r="E67" s="188"/>
      <c r="F67" s="188"/>
      <c r="G67" s="188"/>
      <c r="H67" s="188"/>
      <c r="I67" s="196"/>
      <c r="J67" s="19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row>
    <row r="68" spans="1:37" ht="14.4" x14ac:dyDescent="0.3">
      <c r="A68" s="6"/>
      <c r="B68" s="163"/>
      <c r="C68" s="196"/>
      <c r="D68" s="196"/>
      <c r="E68" s="218"/>
      <c r="F68" s="218"/>
      <c r="G68" s="218"/>
      <c r="H68" s="218"/>
      <c r="I68" s="196"/>
      <c r="J68" s="19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row>
    <row r="69" spans="1:37" x14ac:dyDescent="0.25">
      <c r="A69" s="6"/>
      <c r="B69" s="163"/>
      <c r="C69" s="196"/>
      <c r="D69" s="196"/>
      <c r="E69" s="205"/>
      <c r="F69" s="205"/>
      <c r="G69" s="205"/>
      <c r="H69" s="205"/>
      <c r="I69" s="196"/>
      <c r="J69" s="19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row>
    <row r="70" spans="1:37" ht="14.4" x14ac:dyDescent="0.3">
      <c r="A70" s="6"/>
      <c r="B70" s="163"/>
      <c r="C70" s="196"/>
      <c r="D70" s="196"/>
      <c r="E70" s="218"/>
      <c r="F70" s="218"/>
      <c r="G70" s="218"/>
      <c r="H70" s="218"/>
      <c r="I70" s="196"/>
      <c r="J70" s="19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row>
    <row r="71" spans="1:37" ht="14.4" x14ac:dyDescent="0.3">
      <c r="A71" s="6"/>
      <c r="B71" s="6"/>
      <c r="C71" s="219"/>
      <c r="D71" s="219"/>
      <c r="E71" s="218"/>
      <c r="F71" s="218"/>
      <c r="G71" s="218"/>
      <c r="H71" s="218"/>
      <c r="I71" s="196"/>
      <c r="J71" s="19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row>
    <row r="72" spans="1:37" x14ac:dyDescent="0.25">
      <c r="A72" s="6"/>
      <c r="B72" s="6"/>
      <c r="C72" s="196"/>
      <c r="D72" s="196"/>
      <c r="E72" s="205"/>
      <c r="F72" s="205"/>
      <c r="G72" s="205"/>
      <c r="H72" s="205"/>
      <c r="I72" s="196"/>
      <c r="J72" s="19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row>
    <row r="73" spans="1:37" x14ac:dyDescent="0.25">
      <c r="A73" s="6"/>
      <c r="B73" s="6"/>
      <c r="C73" s="196"/>
      <c r="D73" s="196"/>
      <c r="E73" s="205"/>
      <c r="F73" s="205"/>
      <c r="G73" s="205"/>
      <c r="H73" s="205"/>
      <c r="I73" s="196"/>
      <c r="J73" s="19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row>
    <row r="74" spans="1:37" ht="14.4" x14ac:dyDescent="0.3">
      <c r="A74" s="6"/>
      <c r="B74" s="6"/>
      <c r="C74" s="219"/>
      <c r="D74" s="196"/>
      <c r="E74" s="218"/>
      <c r="F74" s="218"/>
      <c r="G74" s="218"/>
      <c r="H74" s="218"/>
      <c r="I74" s="196"/>
      <c r="J74" s="19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row>
    <row r="75" spans="1:37" x14ac:dyDescent="0.25">
      <c r="A75" s="6"/>
      <c r="B75" s="6"/>
      <c r="C75" s="196"/>
      <c r="D75" s="196"/>
      <c r="E75" s="205"/>
      <c r="F75" s="205"/>
      <c r="G75" s="205"/>
      <c r="H75" s="205"/>
      <c r="I75" s="196"/>
      <c r="J75" s="19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row>
    <row r="76" spans="1:37" ht="14.4" x14ac:dyDescent="0.3">
      <c r="A76" s="6"/>
      <c r="B76" s="6"/>
      <c r="C76" s="219"/>
      <c r="D76" s="219"/>
      <c r="E76" s="218"/>
      <c r="F76" s="218"/>
      <c r="G76" s="218"/>
      <c r="H76" s="218"/>
      <c r="I76" s="196"/>
      <c r="J76" s="19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row>
    <row r="77" spans="1:37" ht="14.4" x14ac:dyDescent="0.3">
      <c r="A77" s="6"/>
      <c r="B77" s="6"/>
      <c r="C77" s="219"/>
      <c r="D77" s="219"/>
      <c r="E77" s="218"/>
      <c r="F77" s="218"/>
      <c r="G77" s="218"/>
      <c r="H77" s="218"/>
      <c r="I77" s="196"/>
      <c r="J77" s="19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row>
    <row r="78" spans="1:37" x14ac:dyDescent="0.25">
      <c r="A78" s="6"/>
      <c r="B78" s="6"/>
      <c r="C78" s="196"/>
      <c r="D78" s="196"/>
      <c r="E78" s="205"/>
      <c r="F78" s="205"/>
      <c r="G78" s="205"/>
      <c r="H78" s="205"/>
      <c r="I78" s="196"/>
      <c r="J78" s="19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row>
    <row r="79" spans="1:37" x14ac:dyDescent="0.25">
      <c r="A79" s="6"/>
      <c r="B79" s="6"/>
      <c r="C79" s="196"/>
      <c r="D79" s="196"/>
      <c r="E79" s="205"/>
      <c r="F79" s="205"/>
      <c r="G79" s="205"/>
      <c r="H79" s="205"/>
      <c r="I79" s="196"/>
      <c r="J79" s="19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row>
    <row r="80" spans="1:37" ht="14.4" x14ac:dyDescent="0.3">
      <c r="A80" s="6"/>
      <c r="B80" s="6"/>
      <c r="C80" s="219"/>
      <c r="D80" s="196"/>
      <c r="E80" s="218"/>
      <c r="F80" s="218"/>
      <c r="G80" s="218"/>
      <c r="H80" s="218"/>
      <c r="I80" s="196"/>
      <c r="J80" s="19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row>
    <row r="81" spans="1:37" x14ac:dyDescent="0.2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row>
    <row r="82" spans="1:37" x14ac:dyDescent="0.2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row>
    <row r="83" spans="1:37" x14ac:dyDescent="0.2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row>
    <row r="84" spans="1:37" x14ac:dyDescent="0.2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row>
    <row r="85" spans="1:37" x14ac:dyDescent="0.25">
      <c r="A85" s="6"/>
      <c r="B85" s="6"/>
      <c r="C85" s="196"/>
      <c r="D85" s="196"/>
      <c r="E85" s="205"/>
      <c r="F85" s="205"/>
      <c r="G85" s="205"/>
      <c r="H85" s="205"/>
      <c r="I85" s="196"/>
      <c r="J85" s="19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row>
    <row r="86" spans="1:37" x14ac:dyDescent="0.2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row>
    <row r="87" spans="1:37" x14ac:dyDescent="0.2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row>
    <row r="88" spans="1:37" x14ac:dyDescent="0.25">
      <c r="A88" s="6"/>
    </row>
    <row r="89" spans="1:37" ht="14.4" x14ac:dyDescent="0.3">
      <c r="O89" s="220"/>
      <c r="P89" s="220"/>
      <c r="Q89" s="220"/>
    </row>
    <row r="90" spans="1:37" ht="14.4" x14ac:dyDescent="0.3">
      <c r="O90" s="220"/>
      <c r="P90" s="220"/>
      <c r="Q90" s="220"/>
    </row>
    <row r="97" spans="3:8" x14ac:dyDescent="0.25">
      <c r="C97" s="221"/>
      <c r="D97" s="221"/>
      <c r="E97" s="222"/>
      <c r="F97" s="222"/>
      <c r="G97" s="222"/>
      <c r="H97" s="222"/>
    </row>
    <row r="98" spans="3:8" ht="14.4" x14ac:dyDescent="0.3">
      <c r="C98" s="221"/>
      <c r="D98" s="221"/>
      <c r="E98" s="222"/>
      <c r="F98" s="223"/>
      <c r="G98" s="222"/>
      <c r="H98" s="222"/>
    </row>
  </sheetData>
  <mergeCells count="5">
    <mergeCell ref="B40:B49"/>
    <mergeCell ref="L53:M61"/>
    <mergeCell ref="B9:B16"/>
    <mergeCell ref="B24:B31"/>
    <mergeCell ref="B53:B61"/>
  </mergeCells>
  <conditionalFormatting sqref="M18:N18">
    <cfRule type="cellIs" dxfId="5" priority="7" operator="lessThan">
      <formula>1</formula>
    </cfRule>
    <cfRule type="cellIs" dxfId="4" priority="8" operator="greaterThan">
      <formula>1</formula>
    </cfRule>
    <cfRule type="cellIs" dxfId="3" priority="9" operator="equal">
      <formula>1</formula>
    </cfRule>
  </conditionalFormatting>
  <conditionalFormatting sqref="M33:N33">
    <cfRule type="cellIs" dxfId="2" priority="1" operator="lessThan">
      <formula>1</formula>
    </cfRule>
    <cfRule type="cellIs" dxfId="1" priority="2" operator="greaterThan">
      <formula>1</formula>
    </cfRule>
    <cfRule type="cellIs" dxfId="0" priority="3" operator="equal">
      <formula>1</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2DEED-2DFB-483A-A4D8-53690C4AFF17}">
  <sheetPr>
    <tabColor theme="0"/>
  </sheetPr>
  <dimension ref="A1:F38"/>
  <sheetViews>
    <sheetView workbookViewId="0">
      <selection activeCell="G32" sqref="G32"/>
    </sheetView>
  </sheetViews>
  <sheetFormatPr defaultRowHeight="14.4" x14ac:dyDescent="0.3"/>
  <cols>
    <col min="1" max="1" width="22.88671875" customWidth="1"/>
    <col min="4" max="4" width="2.6640625" customWidth="1"/>
  </cols>
  <sheetData>
    <row r="1" spans="1:3" s="606" customFormat="1" ht="47.4" customHeight="1" x14ac:dyDescent="0.3">
      <c r="A1" s="606" t="s">
        <v>433</v>
      </c>
    </row>
    <row r="2" spans="1:3" s="607" customFormat="1" ht="21" customHeight="1" x14ac:dyDescent="0.3"/>
    <row r="3" spans="1:3" s="517" customFormat="1" ht="13.2" x14ac:dyDescent="0.25">
      <c r="A3" s="515" t="s">
        <v>432</v>
      </c>
      <c r="B3" s="516"/>
    </row>
    <row r="4" spans="1:3" s="518" customFormat="1" ht="13.2" x14ac:dyDescent="0.25">
      <c r="A4" s="518" t="s">
        <v>413</v>
      </c>
      <c r="B4" s="518" t="s">
        <v>422</v>
      </c>
    </row>
    <row r="5" spans="1:3" s="518" customFormat="1" ht="13.2" x14ac:dyDescent="0.25">
      <c r="A5" s="518" t="s">
        <v>414</v>
      </c>
      <c r="B5" s="518">
        <v>100</v>
      </c>
      <c r="C5" s="518" t="s">
        <v>5</v>
      </c>
    </row>
    <row r="6" spans="1:3" s="518" customFormat="1" ht="13.2" x14ac:dyDescent="0.25">
      <c r="A6" s="518" t="s">
        <v>415</v>
      </c>
      <c r="B6" s="519" t="s">
        <v>416</v>
      </c>
      <c r="C6" s="518" t="s">
        <v>417</v>
      </c>
    </row>
    <row r="7" spans="1:3" s="518" customFormat="1" ht="13.2" x14ac:dyDescent="0.25">
      <c r="A7" s="518" t="s">
        <v>418</v>
      </c>
      <c r="B7" s="518">
        <v>4</v>
      </c>
      <c r="C7" s="518" t="s">
        <v>417</v>
      </c>
    </row>
    <row r="8" spans="1:3" s="518" customFormat="1" ht="13.2" x14ac:dyDescent="0.25">
      <c r="A8" s="518" t="s">
        <v>419</v>
      </c>
      <c r="B8" s="518">
        <f>10*4*2</f>
        <v>80</v>
      </c>
      <c r="C8" s="518" t="s">
        <v>5</v>
      </c>
    </row>
    <row r="9" spans="1:3" s="518" customFormat="1" ht="13.2" x14ac:dyDescent="0.25">
      <c r="A9" s="518" t="s">
        <v>427</v>
      </c>
      <c r="B9" s="518">
        <v>150</v>
      </c>
      <c r="C9" s="518" t="s">
        <v>5</v>
      </c>
    </row>
    <row r="10" spans="1:3" s="518" customFormat="1" ht="13.2" x14ac:dyDescent="0.25"/>
    <row r="11" spans="1:3" s="518" customFormat="1" ht="13.2" x14ac:dyDescent="0.25"/>
    <row r="12" spans="1:3" s="518" customFormat="1" ht="13.2" x14ac:dyDescent="0.25"/>
    <row r="13" spans="1:3" s="518" customFormat="1" ht="13.2" x14ac:dyDescent="0.25"/>
    <row r="14" spans="1:3" s="518" customFormat="1" ht="13.2" x14ac:dyDescent="0.25"/>
    <row r="15" spans="1:3" s="518" customFormat="1" ht="13.2" x14ac:dyDescent="0.25"/>
    <row r="16" spans="1:3" s="518" customFormat="1" ht="13.2" x14ac:dyDescent="0.25"/>
    <row r="17" spans="1:6" s="520" customFormat="1" ht="12.6" x14ac:dyDescent="0.2">
      <c r="A17" s="520" t="s">
        <v>420</v>
      </c>
    </row>
    <row r="18" spans="1:6" s="518" customFormat="1" ht="13.2" x14ac:dyDescent="0.25">
      <c r="A18" s="518" t="s">
        <v>437</v>
      </c>
    </row>
    <row r="19" spans="1:6" s="521" customFormat="1" ht="13.2" x14ac:dyDescent="0.25">
      <c r="A19" s="521" t="s">
        <v>421</v>
      </c>
    </row>
    <row r="20" spans="1:6" s="522" customFormat="1" ht="13.2" x14ac:dyDescent="0.25">
      <c r="A20" s="521" t="s">
        <v>439</v>
      </c>
    </row>
    <row r="21" spans="1:6" s="522" customFormat="1" ht="13.2" x14ac:dyDescent="0.25">
      <c r="A21" s="521" t="s">
        <v>423</v>
      </c>
    </row>
    <row r="22" spans="1:6" s="522" customFormat="1" ht="13.2" x14ac:dyDescent="0.25">
      <c r="A22" s="521" t="s">
        <v>424</v>
      </c>
    </row>
    <row r="23" spans="1:6" s="522" customFormat="1" ht="13.2" x14ac:dyDescent="0.25">
      <c r="A23" s="518" t="s">
        <v>438</v>
      </c>
    </row>
    <row r="24" spans="1:6" s="520" customFormat="1" ht="12.6" x14ac:dyDescent="0.2">
      <c r="A24" s="520" t="s">
        <v>425</v>
      </c>
    </row>
    <row r="25" spans="1:6" x14ac:dyDescent="0.3">
      <c r="A25" s="521" t="s">
        <v>426</v>
      </c>
      <c r="B25" s="518">
        <f>80*0.3</f>
        <v>24</v>
      </c>
      <c r="C25" s="518" t="s">
        <v>5</v>
      </c>
      <c r="E25" s="518">
        <f t="shared" ref="E25:E30" si="0">B25*B33*1000</f>
        <v>600.00000000000011</v>
      </c>
      <c r="F25" s="518" t="s">
        <v>109</v>
      </c>
    </row>
    <row r="26" spans="1:6" x14ac:dyDescent="0.3">
      <c r="A26" s="521" t="s">
        <v>7</v>
      </c>
      <c r="B26" s="518">
        <f>(80-B25)*0.8</f>
        <v>44.800000000000004</v>
      </c>
      <c r="C26" s="518" t="s">
        <v>5</v>
      </c>
      <c r="E26" s="518">
        <f t="shared" si="0"/>
        <v>8064.0000000000018</v>
      </c>
      <c r="F26" s="518" t="s">
        <v>109</v>
      </c>
    </row>
    <row r="27" spans="1:6" x14ac:dyDescent="0.3">
      <c r="A27" s="521" t="s">
        <v>428</v>
      </c>
      <c r="B27" s="518">
        <v>150</v>
      </c>
      <c r="C27" s="518" t="s">
        <v>5</v>
      </c>
      <c r="E27" s="518">
        <f t="shared" si="0"/>
        <v>6300.0000000000009</v>
      </c>
      <c r="F27" s="518" t="s">
        <v>109</v>
      </c>
    </row>
    <row r="28" spans="1:6" x14ac:dyDescent="0.3">
      <c r="A28" s="521" t="s">
        <v>429</v>
      </c>
      <c r="B28" s="518">
        <v>75.56</v>
      </c>
      <c r="C28" s="518" t="s">
        <v>11</v>
      </c>
      <c r="E28" s="518">
        <f t="shared" si="0"/>
        <v>181344</v>
      </c>
      <c r="F28" s="518" t="s">
        <v>109</v>
      </c>
    </row>
    <row r="29" spans="1:6" x14ac:dyDescent="0.3">
      <c r="A29" s="521" t="s">
        <v>430</v>
      </c>
      <c r="B29" s="518">
        <v>100</v>
      </c>
      <c r="C29" s="518" t="s">
        <v>11</v>
      </c>
      <c r="E29" s="518">
        <f t="shared" si="0"/>
        <v>185000</v>
      </c>
      <c r="F29" s="518" t="s">
        <v>109</v>
      </c>
    </row>
    <row r="30" spans="1:6" x14ac:dyDescent="0.3">
      <c r="A30" s="521" t="s">
        <v>431</v>
      </c>
      <c r="B30" s="518">
        <f>20*0.1</f>
        <v>2</v>
      </c>
      <c r="C30" s="518" t="s">
        <v>11</v>
      </c>
      <c r="E30" s="518">
        <f t="shared" si="0"/>
        <v>4800</v>
      </c>
      <c r="F30" s="518" t="s">
        <v>109</v>
      </c>
    </row>
    <row r="31" spans="1:6" x14ac:dyDescent="0.3">
      <c r="A31" s="521" t="s">
        <v>26</v>
      </c>
      <c r="E31" s="518">
        <f>SUM(E25:E30)</f>
        <v>386108</v>
      </c>
      <c r="F31" s="518" t="s">
        <v>109</v>
      </c>
    </row>
    <row r="33" spans="1:3" x14ac:dyDescent="0.3">
      <c r="A33" s="521" t="s">
        <v>440</v>
      </c>
      <c r="B33" s="518">
        <f>2.5*0.01</f>
        <v>2.5000000000000001E-2</v>
      </c>
      <c r="C33" s="518" t="s">
        <v>441</v>
      </c>
    </row>
    <row r="34" spans="1:3" x14ac:dyDescent="0.3">
      <c r="A34" s="521" t="s">
        <v>442</v>
      </c>
      <c r="B34" s="518">
        <f>1.8*0.1</f>
        <v>0.18000000000000002</v>
      </c>
      <c r="C34" s="518" t="s">
        <v>441</v>
      </c>
    </row>
    <row r="35" spans="1:3" x14ac:dyDescent="0.3">
      <c r="A35" s="521" t="s">
        <v>443</v>
      </c>
      <c r="B35" s="518">
        <f>2.1*0.02</f>
        <v>4.2000000000000003E-2</v>
      </c>
      <c r="C35" s="518" t="s">
        <v>441</v>
      </c>
    </row>
    <row r="36" spans="1:3" x14ac:dyDescent="0.3">
      <c r="A36" s="521" t="s">
        <v>436</v>
      </c>
      <c r="B36" s="518">
        <v>2.4</v>
      </c>
      <c r="C36" s="518" t="s">
        <v>393</v>
      </c>
    </row>
    <row r="37" spans="1:3" x14ac:dyDescent="0.3">
      <c r="A37" s="521" t="s">
        <v>434</v>
      </c>
      <c r="B37" s="518">
        <v>1.85</v>
      </c>
      <c r="C37" s="518" t="s">
        <v>393</v>
      </c>
    </row>
    <row r="38" spans="1:3" x14ac:dyDescent="0.3">
      <c r="A38" s="521" t="s">
        <v>435</v>
      </c>
      <c r="B38" s="518">
        <v>2.4</v>
      </c>
      <c r="C38" s="518" t="s">
        <v>393</v>
      </c>
    </row>
  </sheetData>
  <mergeCells count="2">
    <mergeCell ref="A1:XFD1"/>
    <mergeCell ref="A2:XFD2"/>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1B72C1-F76A-4E13-B5CE-DF2C138289C4}">
  <sheetPr>
    <tabColor theme="0"/>
  </sheetPr>
  <dimension ref="A2:U51"/>
  <sheetViews>
    <sheetView showGridLines="0" zoomScale="73" zoomScaleNormal="73" workbookViewId="0">
      <selection activeCell="S51" sqref="S51"/>
    </sheetView>
  </sheetViews>
  <sheetFormatPr defaultColWidth="9.109375" defaultRowHeight="13.8" x14ac:dyDescent="0.25"/>
  <cols>
    <col min="1" max="1" width="9.109375" style="6"/>
    <col min="2" max="2" width="19" style="6" customWidth="1"/>
    <col min="3" max="3" width="23.88671875" style="6" customWidth="1"/>
    <col min="4" max="4" width="9.44140625" style="6" customWidth="1"/>
    <col min="5" max="5" width="8.33203125" style="6" customWidth="1"/>
    <col min="6" max="6" width="15" style="6" customWidth="1"/>
    <col min="7" max="7" width="25.44140625" style="6" customWidth="1"/>
    <col min="8" max="8" width="18.88671875" style="6" customWidth="1"/>
    <col min="9" max="9" width="21.6640625" style="6" customWidth="1"/>
    <col min="10" max="10" width="11.5546875" style="6" customWidth="1"/>
    <col min="11" max="11" width="18.88671875" style="6" customWidth="1"/>
    <col min="12" max="12" width="12.44140625" style="6" customWidth="1"/>
    <col min="13" max="15" width="18.88671875" style="6" customWidth="1"/>
    <col min="16" max="16" width="23.44140625" style="6" customWidth="1"/>
    <col min="17" max="17" width="4.6640625" style="6" customWidth="1"/>
    <col min="18" max="18" width="4.109375" style="6" customWidth="1"/>
    <col min="19" max="19" width="116.6640625" style="6" customWidth="1"/>
    <col min="20" max="20" width="16" style="6" customWidth="1"/>
    <col min="21" max="21" width="15.88671875" style="6" bestFit="1" customWidth="1"/>
    <col min="22" max="16384" width="9.109375" style="6"/>
  </cols>
  <sheetData>
    <row r="2" spans="1:21" ht="24.6" customHeight="1" x14ac:dyDescent="0.45">
      <c r="G2" s="611" t="s">
        <v>125</v>
      </c>
      <c r="H2" s="611"/>
      <c r="I2" s="224"/>
      <c r="J2" s="224"/>
      <c r="K2" s="224"/>
      <c r="L2" s="224"/>
      <c r="M2" s="224"/>
      <c r="N2" s="224" t="s">
        <v>126</v>
      </c>
      <c r="O2" s="224"/>
    </row>
    <row r="3" spans="1:21" ht="9" hidden="1" customHeight="1" x14ac:dyDescent="0.4">
      <c r="B3" s="614" t="s">
        <v>132</v>
      </c>
      <c r="C3" s="614"/>
      <c r="D3" s="614"/>
      <c r="E3" s="614"/>
      <c r="G3" s="612" t="s">
        <v>121</v>
      </c>
      <c r="H3" s="612"/>
      <c r="I3" s="225"/>
      <c r="J3" s="225"/>
      <c r="K3" s="225" t="s">
        <v>283</v>
      </c>
      <c r="L3" s="225"/>
      <c r="M3" s="225"/>
      <c r="N3" s="225" t="s">
        <v>280</v>
      </c>
      <c r="O3" s="225"/>
    </row>
    <row r="4" spans="1:21" ht="33.6" hidden="1" customHeight="1" x14ac:dyDescent="0.25">
      <c r="A4" s="617" t="s">
        <v>292</v>
      </c>
      <c r="B4" s="608" t="s">
        <v>30</v>
      </c>
      <c r="C4" s="389" t="s">
        <v>39</v>
      </c>
      <c r="D4" s="615" t="s">
        <v>54</v>
      </c>
      <c r="E4" s="616"/>
      <c r="F4" s="16"/>
      <c r="G4" s="390" t="s">
        <v>203</v>
      </c>
      <c r="H4" s="391" t="s">
        <v>193</v>
      </c>
      <c r="I4" s="393" t="s">
        <v>220</v>
      </c>
      <c r="J4" s="11"/>
      <c r="K4" s="11"/>
      <c r="L4" s="11"/>
      <c r="M4" s="390" t="s">
        <v>203</v>
      </c>
      <c r="N4" s="392" t="s">
        <v>193</v>
      </c>
      <c r="O4" s="391"/>
      <c r="P4" s="397" t="s">
        <v>220</v>
      </c>
      <c r="Q4" s="392"/>
      <c r="R4" s="391"/>
      <c r="S4" s="398" t="s">
        <v>300</v>
      </c>
      <c r="T4" s="11"/>
    </row>
    <row r="5" spans="1:21" ht="69.900000000000006" hidden="1" customHeight="1" x14ac:dyDescent="0.25">
      <c r="A5" s="618"/>
      <c r="B5" s="609"/>
      <c r="C5" s="226" t="s">
        <v>117</v>
      </c>
      <c r="D5" s="10" t="e">
        <f>Materialeoutput!$F$13</f>
        <v>#REF!</v>
      </c>
      <c r="E5" s="161" t="s">
        <v>5</v>
      </c>
      <c r="F5" s="16"/>
      <c r="G5" s="227">
        <f>Argumenter!B371</f>
        <v>45</v>
      </c>
      <c r="H5" s="228">
        <f>G5/Argumenter!C15</f>
        <v>3.2142857142857144</v>
      </c>
      <c r="I5" s="394"/>
      <c r="J5" s="229"/>
      <c r="K5" s="229"/>
      <c r="L5" s="229"/>
      <c r="M5" s="230">
        <f>Argumenter!B376</f>
        <v>210</v>
      </c>
      <c r="N5" s="229">
        <f>M5/Argumenter!C15</f>
        <v>15</v>
      </c>
      <c r="O5" s="228"/>
      <c r="P5" s="399"/>
      <c r="R5" s="408"/>
      <c r="S5" s="400"/>
      <c r="T5" s="232"/>
      <c r="U5" s="233"/>
    </row>
    <row r="6" spans="1:21" ht="69.900000000000006" hidden="1" customHeight="1" x14ac:dyDescent="0.25">
      <c r="A6" s="618"/>
      <c r="B6" s="609"/>
      <c r="C6" s="226" t="s">
        <v>97</v>
      </c>
      <c r="D6" s="10" t="e">
        <f>Materialeoutput!$F$13</f>
        <v>#REF!</v>
      </c>
      <c r="E6" s="161" t="s">
        <v>5</v>
      </c>
      <c r="F6" s="16"/>
      <c r="G6" s="227">
        <f>Argumenter!B372</f>
        <v>80</v>
      </c>
      <c r="H6" s="228">
        <f>G6/Argumenter!C15</f>
        <v>5.7142857142857144</v>
      </c>
      <c r="I6" s="394">
        <f>$G$5-G6</f>
        <v>-35</v>
      </c>
      <c r="J6" s="229"/>
      <c r="K6" s="229"/>
      <c r="L6" s="229"/>
      <c r="M6" s="230">
        <f>Argumenter!B377</f>
        <v>182</v>
      </c>
      <c r="N6" s="229">
        <f>M6/Argumenter!C15</f>
        <v>13</v>
      </c>
      <c r="O6" s="228"/>
      <c r="P6" s="401">
        <f>$M$5-M6</f>
        <v>28</v>
      </c>
      <c r="Q6" s="231"/>
      <c r="R6" s="408"/>
      <c r="S6" s="402" t="s">
        <v>284</v>
      </c>
      <c r="T6" s="232"/>
      <c r="U6" s="233"/>
    </row>
    <row r="7" spans="1:21" ht="44.4" hidden="1" customHeight="1" x14ac:dyDescent="0.25">
      <c r="A7" s="618"/>
      <c r="B7" s="609"/>
      <c r="C7" s="226" t="s">
        <v>98</v>
      </c>
      <c r="D7" s="10" t="e">
        <f>Materialeoutput!$F$13</f>
        <v>#REF!</v>
      </c>
      <c r="E7" s="161" t="s">
        <v>5</v>
      </c>
      <c r="F7" s="16"/>
      <c r="G7" s="227">
        <f>Argumenter!B372</f>
        <v>80</v>
      </c>
      <c r="H7" s="228">
        <f>G7/Argumenter!C15</f>
        <v>5.7142857142857144</v>
      </c>
      <c r="I7" s="394">
        <f>$G$5-G7</f>
        <v>-35</v>
      </c>
      <c r="J7" s="229"/>
      <c r="K7" s="229"/>
      <c r="L7" s="229"/>
      <c r="M7" s="230">
        <f>Argumenter!B378</f>
        <v>236.6</v>
      </c>
      <c r="N7" s="229">
        <f>M7/Argumenter!C15</f>
        <v>16.899999999999999</v>
      </c>
      <c r="O7" s="228"/>
      <c r="P7" s="401">
        <f>$M$5-M7</f>
        <v>-26.599999999999994</v>
      </c>
      <c r="Q7" s="231"/>
      <c r="R7" s="408"/>
      <c r="S7" s="402" t="s">
        <v>243</v>
      </c>
      <c r="T7" s="232"/>
      <c r="U7" s="233"/>
    </row>
    <row r="8" spans="1:21" ht="69.900000000000006" hidden="1" customHeight="1" x14ac:dyDescent="0.25">
      <c r="A8" s="618"/>
      <c r="B8" s="610"/>
      <c r="C8" s="234" t="s">
        <v>99</v>
      </c>
      <c r="D8" s="172" t="e">
        <f>Materialeoutput!G9</f>
        <v>#REF!</v>
      </c>
      <c r="E8" s="173" t="s">
        <v>11</v>
      </c>
      <c r="F8" s="16"/>
      <c r="G8" s="235">
        <f>Argumenter!B373</f>
        <v>49.500000000000007</v>
      </c>
      <c r="H8" s="236">
        <f>G8/Argumenter!C15</f>
        <v>3.535714285714286</v>
      </c>
      <c r="I8" s="395">
        <f>$G$5-G8</f>
        <v>-4.5000000000000071</v>
      </c>
      <c r="J8" s="229"/>
      <c r="K8" s="229"/>
      <c r="L8" s="229"/>
      <c r="M8" s="237">
        <f>Argumenter!B379</f>
        <v>188.5</v>
      </c>
      <c r="N8" s="238">
        <f>M8/Argumenter!C15</f>
        <v>13.464285714285714</v>
      </c>
      <c r="O8" s="236"/>
      <c r="P8" s="403">
        <f>$M$5-M8</f>
        <v>21.5</v>
      </c>
      <c r="Q8" s="404"/>
      <c r="R8" s="409"/>
      <c r="S8" s="111" t="s">
        <v>244</v>
      </c>
      <c r="T8" s="232"/>
      <c r="U8" s="233"/>
    </row>
    <row r="9" spans="1:21" hidden="1" x14ac:dyDescent="0.25">
      <c r="A9" s="618"/>
      <c r="C9" s="226"/>
      <c r="D9" s="226"/>
      <c r="E9" s="226"/>
      <c r="G9" s="226"/>
      <c r="H9" s="226"/>
      <c r="I9" s="226"/>
      <c r="J9" s="226"/>
      <c r="K9" s="226"/>
      <c r="L9" s="226"/>
      <c r="M9" s="226"/>
      <c r="N9" s="226"/>
      <c r="O9" s="226"/>
      <c r="P9" s="226"/>
      <c r="Q9" s="226"/>
      <c r="R9" s="226"/>
    </row>
    <row r="10" spans="1:21" hidden="1" x14ac:dyDescent="0.25">
      <c r="A10" s="618"/>
      <c r="C10" s="226"/>
      <c r="D10" s="226"/>
      <c r="E10" s="226"/>
      <c r="G10" s="226"/>
      <c r="H10" s="226"/>
      <c r="I10" s="226"/>
      <c r="J10" s="226"/>
      <c r="K10" s="226"/>
      <c r="L10" s="226"/>
      <c r="M10" s="226"/>
      <c r="N10" s="226"/>
      <c r="O10" s="226"/>
      <c r="P10" s="226"/>
      <c r="Q10" s="226"/>
      <c r="R10" s="226"/>
    </row>
    <row r="11" spans="1:21" ht="23.4" hidden="1" x14ac:dyDescent="0.25">
      <c r="A11" s="618"/>
      <c r="C11" s="226"/>
      <c r="D11" s="226"/>
      <c r="E11" s="226"/>
      <c r="G11" s="613" t="s">
        <v>121</v>
      </c>
      <c r="H11" s="613"/>
      <c r="I11" s="239"/>
      <c r="J11" s="239"/>
      <c r="K11" s="239"/>
      <c r="L11" s="239"/>
      <c r="M11" s="239"/>
      <c r="N11" s="239" t="s">
        <v>280</v>
      </c>
      <c r="O11" s="239"/>
      <c r="P11" s="226"/>
      <c r="Q11" s="226"/>
      <c r="R11" s="226"/>
    </row>
    <row r="12" spans="1:21" ht="35.1" hidden="1" customHeight="1" x14ac:dyDescent="0.25">
      <c r="A12" s="618"/>
      <c r="B12" s="608" t="s">
        <v>27</v>
      </c>
      <c r="C12" s="389" t="s">
        <v>39</v>
      </c>
      <c r="D12" s="615" t="s">
        <v>54</v>
      </c>
      <c r="E12" s="616"/>
      <c r="F12" s="16"/>
      <c r="G12" s="390" t="s">
        <v>203</v>
      </c>
      <c r="H12" s="391" t="s">
        <v>193</v>
      </c>
      <c r="I12" s="393" t="s">
        <v>220</v>
      </c>
      <c r="J12" s="11"/>
      <c r="K12" s="11"/>
      <c r="L12" s="11"/>
      <c r="M12" s="390" t="s">
        <v>203</v>
      </c>
      <c r="N12" s="392" t="s">
        <v>193</v>
      </c>
      <c r="O12" s="391"/>
      <c r="P12" s="390" t="s">
        <v>220</v>
      </c>
      <c r="Q12" s="392"/>
      <c r="R12" s="391"/>
      <c r="S12" s="405" t="s">
        <v>300</v>
      </c>
    </row>
    <row r="13" spans="1:21" ht="35.1" hidden="1" customHeight="1" x14ac:dyDescent="0.25">
      <c r="A13" s="618"/>
      <c r="B13" s="609"/>
      <c r="C13" s="226" t="s">
        <v>117</v>
      </c>
      <c r="D13" s="10" t="e">
        <f>Materialeoutput!$F$11</f>
        <v>#REF!</v>
      </c>
      <c r="E13" s="161" t="s">
        <v>5</v>
      </c>
      <c r="F13" s="16"/>
      <c r="G13" s="227">
        <f>Argumenter!B385</f>
        <v>400</v>
      </c>
      <c r="H13" s="228" t="s">
        <v>206</v>
      </c>
      <c r="I13" s="394"/>
      <c r="J13" s="229"/>
      <c r="K13" s="229"/>
      <c r="L13" s="229"/>
      <c r="M13" s="230">
        <f>Argumenter!B389</f>
        <v>3545.2127659574471</v>
      </c>
      <c r="N13" s="229"/>
      <c r="O13" s="228"/>
      <c r="P13" s="399"/>
      <c r="Q13" s="231"/>
      <c r="R13" s="408"/>
      <c r="S13" s="24"/>
    </row>
    <row r="14" spans="1:21" ht="35.1" hidden="1" customHeight="1" x14ac:dyDescent="0.25">
      <c r="A14" s="618"/>
      <c r="B14" s="609"/>
      <c r="C14" s="226" t="s">
        <v>97</v>
      </c>
      <c r="D14" s="10" t="e">
        <f>Materialeoutput!$F$11</f>
        <v>#REF!</v>
      </c>
      <c r="E14" s="161" t="s">
        <v>5</v>
      </c>
      <c r="F14" s="16"/>
      <c r="G14" s="227">
        <f>Argumenter!B386</f>
        <v>460</v>
      </c>
      <c r="H14" s="228" t="s">
        <v>206</v>
      </c>
      <c r="I14" s="394">
        <f>$G$13-G14</f>
        <v>-60</v>
      </c>
      <c r="J14" s="229"/>
      <c r="K14" s="229"/>
      <c r="L14" s="229"/>
      <c r="M14" s="230">
        <f>Argumenter!B390</f>
        <v>1879.5744680851064</v>
      </c>
      <c r="N14" s="229"/>
      <c r="O14" s="228"/>
      <c r="P14" s="401">
        <f>$M$13-M14</f>
        <v>1665.6382978723407</v>
      </c>
      <c r="Q14" s="231"/>
      <c r="R14" s="408"/>
      <c r="S14" s="24" t="s">
        <v>247</v>
      </c>
    </row>
    <row r="15" spans="1:21" ht="33.6" hidden="1" customHeight="1" x14ac:dyDescent="0.25">
      <c r="A15" s="618"/>
      <c r="B15" s="609"/>
      <c r="C15" s="226" t="s">
        <v>98</v>
      </c>
      <c r="D15" s="10" t="e">
        <f>Materialeoutput!$F$11</f>
        <v>#REF!</v>
      </c>
      <c r="E15" s="161" t="s">
        <v>5</v>
      </c>
      <c r="F15" s="16"/>
      <c r="G15" s="227">
        <f>Argumenter!B386</f>
        <v>460</v>
      </c>
      <c r="H15" s="228" t="s">
        <v>206</v>
      </c>
      <c r="I15" s="394">
        <f>$G$13-G15</f>
        <v>-60</v>
      </c>
      <c r="J15" s="229"/>
      <c r="K15" s="229"/>
      <c r="L15" s="229"/>
      <c r="M15" s="230">
        <f>Argumenter!B391</f>
        <v>2235.7999999999997</v>
      </c>
      <c r="N15" s="229"/>
      <c r="O15" s="228"/>
      <c r="P15" s="401">
        <f>$M$13-M15</f>
        <v>1309.4127659574474</v>
      </c>
      <c r="Q15" s="231"/>
      <c r="R15" s="408"/>
      <c r="S15" s="24" t="s">
        <v>247</v>
      </c>
    </row>
    <row r="16" spans="1:21" ht="35.1" hidden="1" customHeight="1" x14ac:dyDescent="0.25">
      <c r="A16" s="618"/>
      <c r="B16" s="610"/>
      <c r="C16" s="234" t="s">
        <v>99</v>
      </c>
      <c r="D16" s="172" t="e">
        <f>Materialeoutput!G11</f>
        <v>#REF!</v>
      </c>
      <c r="E16" s="173" t="s">
        <v>11</v>
      </c>
      <c r="F16" s="16"/>
      <c r="G16" s="235">
        <f>Argumenter!B387</f>
        <v>440.00000000000006</v>
      </c>
      <c r="H16" s="236" t="s">
        <v>206</v>
      </c>
      <c r="I16" s="395">
        <f>$G$13-G16</f>
        <v>-40.000000000000057</v>
      </c>
      <c r="J16" s="229"/>
      <c r="K16" s="229"/>
      <c r="L16" s="229"/>
      <c r="M16" s="237">
        <f>Argumenter!B392</f>
        <v>203</v>
      </c>
      <c r="N16" s="238"/>
      <c r="O16" s="236"/>
      <c r="P16" s="403">
        <f>$M$13-M16</f>
        <v>3342.2127659574471</v>
      </c>
      <c r="Q16" s="404"/>
      <c r="R16" s="409"/>
      <c r="S16" s="111" t="s">
        <v>248</v>
      </c>
    </row>
    <row r="17" spans="1:19" hidden="1" x14ac:dyDescent="0.25">
      <c r="A17" s="618"/>
      <c r="C17" s="226"/>
      <c r="D17" s="226"/>
      <c r="E17" s="226"/>
      <c r="G17" s="226"/>
      <c r="H17" s="226"/>
      <c r="I17" s="226"/>
      <c r="J17" s="226"/>
      <c r="K17" s="226"/>
      <c r="L17" s="226"/>
      <c r="M17" s="226"/>
      <c r="N17" s="226"/>
      <c r="O17" s="226"/>
      <c r="P17" s="226"/>
      <c r="Q17" s="226"/>
      <c r="R17" s="226"/>
    </row>
    <row r="18" spans="1:19" hidden="1" x14ac:dyDescent="0.25">
      <c r="A18" s="618"/>
      <c r="C18" s="226"/>
      <c r="D18" s="226"/>
      <c r="E18" s="226"/>
      <c r="G18" s="226"/>
      <c r="H18" s="226"/>
      <c r="I18" s="226"/>
      <c r="J18" s="226"/>
      <c r="K18" s="226"/>
      <c r="L18" s="226"/>
      <c r="M18" s="226"/>
      <c r="N18" s="226"/>
      <c r="O18" s="226"/>
      <c r="P18" s="226"/>
      <c r="Q18" s="226"/>
      <c r="R18" s="226"/>
    </row>
    <row r="19" spans="1:19" hidden="1" x14ac:dyDescent="0.25">
      <c r="A19" s="618"/>
      <c r="C19" s="226"/>
      <c r="D19" s="226"/>
      <c r="E19" s="226"/>
      <c r="G19" s="226"/>
      <c r="H19" s="226"/>
      <c r="I19" s="226"/>
      <c r="J19" s="226"/>
      <c r="K19" s="226"/>
      <c r="L19" s="226"/>
      <c r="M19" s="226"/>
      <c r="N19" s="226"/>
      <c r="O19" s="226"/>
      <c r="P19" s="226"/>
      <c r="Q19" s="226"/>
      <c r="R19" s="226"/>
    </row>
    <row r="20" spans="1:19" ht="23.4" hidden="1" x14ac:dyDescent="0.25">
      <c r="A20" s="618"/>
      <c r="C20" s="226"/>
      <c r="D20" s="226"/>
      <c r="E20" s="226"/>
      <c r="G20" s="613" t="s">
        <v>121</v>
      </c>
      <c r="H20" s="613"/>
      <c r="I20" s="239"/>
      <c r="J20" s="239"/>
      <c r="K20" s="239"/>
      <c r="L20" s="239"/>
      <c r="M20" s="239"/>
      <c r="N20" s="239" t="s">
        <v>280</v>
      </c>
      <c r="O20" s="239"/>
      <c r="P20" s="226"/>
      <c r="Q20" s="226"/>
      <c r="R20" s="226"/>
    </row>
    <row r="21" spans="1:19" ht="36.6" hidden="1" customHeight="1" x14ac:dyDescent="0.25">
      <c r="A21" s="618"/>
      <c r="B21" s="608" t="s">
        <v>0</v>
      </c>
      <c r="C21" s="389" t="s">
        <v>39</v>
      </c>
      <c r="D21" s="615" t="s">
        <v>54</v>
      </c>
      <c r="E21" s="616"/>
      <c r="F21" s="16"/>
      <c r="G21" s="390" t="s">
        <v>203</v>
      </c>
      <c r="H21" s="391" t="s">
        <v>193</v>
      </c>
      <c r="I21" s="393" t="s">
        <v>220</v>
      </c>
      <c r="J21" s="11"/>
      <c r="K21" s="11"/>
      <c r="L21" s="11"/>
      <c r="M21" s="390" t="s">
        <v>203</v>
      </c>
      <c r="N21" s="392" t="s">
        <v>193</v>
      </c>
      <c r="O21" s="391"/>
      <c r="P21" s="390" t="s">
        <v>220</v>
      </c>
      <c r="Q21" s="392"/>
      <c r="R21" s="391"/>
      <c r="S21" s="405" t="s">
        <v>300</v>
      </c>
    </row>
    <row r="22" spans="1:19" ht="45" hidden="1" customHeight="1" x14ac:dyDescent="0.25">
      <c r="A22" s="618"/>
      <c r="B22" s="609"/>
      <c r="C22" s="226" t="s">
        <v>117</v>
      </c>
      <c r="D22" s="10" t="e">
        <f>Materialeoutput!$F$13</f>
        <v>#REF!</v>
      </c>
      <c r="E22" s="161" t="s">
        <v>5</v>
      </c>
      <c r="F22" s="16"/>
      <c r="G22" s="227">
        <f>Argumenter!B399*Argumenter!C23</f>
        <v>382.8</v>
      </c>
      <c r="H22" s="240">
        <f>Argumenter!B399</f>
        <v>5.8</v>
      </c>
      <c r="I22" s="396"/>
      <c r="J22" s="241"/>
      <c r="K22" s="241"/>
      <c r="L22" s="241"/>
      <c r="M22" s="227">
        <f>N22*Argumenter!C23</f>
        <v>495</v>
      </c>
      <c r="N22" s="241">
        <f>Argumenter!B404</f>
        <v>7.5</v>
      </c>
      <c r="O22" s="240"/>
      <c r="P22" s="399"/>
      <c r="Q22" s="231"/>
      <c r="R22" s="408"/>
      <c r="S22" s="24"/>
    </row>
    <row r="23" spans="1:19" ht="45" hidden="1" customHeight="1" x14ac:dyDescent="0.25">
      <c r="A23" s="618"/>
      <c r="B23" s="609"/>
      <c r="C23" s="226" t="s">
        <v>97</v>
      </c>
      <c r="D23" s="10" t="e">
        <f>Materialeoutput!$F$13</f>
        <v>#REF!</v>
      </c>
      <c r="E23" s="161" t="s">
        <v>5</v>
      </c>
      <c r="F23" s="16"/>
      <c r="G23" s="227">
        <f>Argumenter!B400*Argumenter!C23</f>
        <v>574.19999999999993</v>
      </c>
      <c r="H23" s="228">
        <f>Argumenter!$B$400</f>
        <v>8.6999999999999993</v>
      </c>
      <c r="I23" s="394">
        <f>$G$22-G23</f>
        <v>-191.39999999999992</v>
      </c>
      <c r="J23" s="229"/>
      <c r="K23" s="229"/>
      <c r="L23" s="229"/>
      <c r="M23" s="227">
        <f>N23*Argumenter!C23</f>
        <v>660</v>
      </c>
      <c r="N23" s="241">
        <f>Argumenter!B405</f>
        <v>10</v>
      </c>
      <c r="O23" s="228"/>
      <c r="P23" s="399">
        <f>$M$22-M23</f>
        <v>-165</v>
      </c>
      <c r="Q23" s="231"/>
      <c r="R23" s="408"/>
      <c r="S23" s="109" t="s">
        <v>242</v>
      </c>
    </row>
    <row r="24" spans="1:19" ht="45" hidden="1" customHeight="1" x14ac:dyDescent="0.25">
      <c r="A24" s="618"/>
      <c r="B24" s="609"/>
      <c r="C24" s="226" t="s">
        <v>98</v>
      </c>
      <c r="D24" s="10" t="e">
        <f>Materialeoutput!$F$13</f>
        <v>#REF!</v>
      </c>
      <c r="E24" s="161" t="s">
        <v>5</v>
      </c>
      <c r="F24" s="16"/>
      <c r="G24" s="227">
        <f>Argumenter!B401*Argumenter!C23</f>
        <v>784.62</v>
      </c>
      <c r="H24" s="228">
        <f>G24/Argumenter!C23</f>
        <v>11.888181818181819</v>
      </c>
      <c r="I24" s="394">
        <f>$G$22-G24</f>
        <v>-401.82</v>
      </c>
      <c r="J24" s="229"/>
      <c r="K24" s="229"/>
      <c r="L24" s="229"/>
      <c r="M24" s="227">
        <f>N24*Argumenter!C23</f>
        <v>784.74</v>
      </c>
      <c r="N24" s="241">
        <f>Argumenter!B406</f>
        <v>11.89</v>
      </c>
      <c r="O24" s="228"/>
      <c r="P24" s="399">
        <f>$M$22-M24</f>
        <v>-289.74</v>
      </c>
      <c r="Q24" s="226"/>
      <c r="R24" s="408"/>
      <c r="S24" s="109" t="s">
        <v>255</v>
      </c>
    </row>
    <row r="25" spans="1:19" ht="45" hidden="1" customHeight="1" x14ac:dyDescent="0.25">
      <c r="A25" s="618"/>
      <c r="B25" s="610"/>
      <c r="C25" s="234" t="s">
        <v>99</v>
      </c>
      <c r="D25" s="172" t="e">
        <f>Materialeoutput!G13</f>
        <v>#REF!</v>
      </c>
      <c r="E25" s="173" t="s">
        <v>11</v>
      </c>
      <c r="F25" s="16"/>
      <c r="G25" s="235">
        <f>Argumenter!B402*Argumenter!C23</f>
        <v>421.08</v>
      </c>
      <c r="H25" s="236">
        <f>Argumenter!$B$402</f>
        <v>6.38</v>
      </c>
      <c r="I25" s="395">
        <f>$G$22-G25</f>
        <v>-38.279999999999973</v>
      </c>
      <c r="J25" s="229"/>
      <c r="K25" s="229"/>
      <c r="L25" s="229"/>
      <c r="M25" s="235">
        <f>N25*Argumenter!C23</f>
        <v>686.4</v>
      </c>
      <c r="N25" s="242">
        <f>Argumenter!B407</f>
        <v>10.4</v>
      </c>
      <c r="O25" s="236"/>
      <c r="P25" s="406">
        <f>$M$22-M25</f>
        <v>-191.39999999999998</v>
      </c>
      <c r="Q25" s="234"/>
      <c r="R25" s="409"/>
      <c r="S25" s="111" t="s">
        <v>251</v>
      </c>
    </row>
    <row r="26" spans="1:19" hidden="1" x14ac:dyDescent="0.25"/>
    <row r="27" spans="1:19" hidden="1" x14ac:dyDescent="0.25"/>
    <row r="29" spans="1:19" ht="23.4" x14ac:dyDescent="0.4">
      <c r="B29" s="614" t="s">
        <v>132</v>
      </c>
      <c r="C29" s="614"/>
      <c r="D29" s="614"/>
      <c r="E29" s="614"/>
      <c r="G29" s="612" t="s">
        <v>227</v>
      </c>
      <c r="H29" s="612"/>
      <c r="I29" s="225"/>
      <c r="J29" s="225"/>
      <c r="K29" s="225"/>
      <c r="L29" s="225"/>
      <c r="M29" s="225"/>
      <c r="N29" s="225" t="s">
        <v>280</v>
      </c>
      <c r="O29" s="225"/>
    </row>
    <row r="30" spans="1:19" ht="35.1" customHeight="1" x14ac:dyDescent="0.25">
      <c r="A30" s="619" t="s">
        <v>305</v>
      </c>
      <c r="B30" s="608" t="s">
        <v>31</v>
      </c>
      <c r="C30" s="389" t="s">
        <v>39</v>
      </c>
      <c r="D30" s="615" t="s">
        <v>54</v>
      </c>
      <c r="E30" s="616"/>
      <c r="F30" s="10"/>
      <c r="G30" s="390" t="s">
        <v>241</v>
      </c>
      <c r="H30" s="391" t="s">
        <v>193</v>
      </c>
      <c r="I30" s="393" t="s">
        <v>331</v>
      </c>
      <c r="J30" s="11"/>
      <c r="K30" s="11"/>
      <c r="L30" s="11"/>
      <c r="M30" s="390"/>
      <c r="N30" s="392"/>
      <c r="O30" s="391"/>
      <c r="P30" s="390" t="s">
        <v>220</v>
      </c>
      <c r="Q30" s="392"/>
      <c r="R30" s="391"/>
      <c r="S30" s="407" t="s">
        <v>300</v>
      </c>
    </row>
    <row r="31" spans="1:19" ht="35.1" customHeight="1" x14ac:dyDescent="0.25">
      <c r="A31" s="619"/>
      <c r="B31" s="609"/>
      <c r="C31" s="226" t="s">
        <v>117</v>
      </c>
      <c r="D31" s="10">
        <f>Materialeoutput!H24</f>
        <v>0</v>
      </c>
      <c r="E31" s="161" t="s">
        <v>6</v>
      </c>
      <c r="F31" s="10"/>
      <c r="G31" s="227" t="e" cm="1">
        <f t="array" ref="G31">(_xlfn.IFS(AND(INPUT!H8=Argumenter!A70,INPUT!J8=Argumenter!B93),Argumenter!B422+Argumenter!B430,AND(INPUT!H8=Argumenter!A71,INPUT!J8=Argumenter!B93),Argumenter!B422+Argumenter!B430,AND(INPUT!H8=Argumenter!A72,INPUT!J8=Argumenter!B93),Argumenter!B421+Argumenter!B429,AND(INPUT!H8=Argumenter!A70,INPUT!J8=Argumenter!B69),Argumenter!B421+Argumenter!B429,AND(INPUT!H8=Argumenter!A71,INPUT!J8=Argumenter!B69),Argumenter!B419+Argumenter!B426,AND(INPUT!H8=Argumenter!A72,INPUT!J8=Argumenter!B69),Argumenter!B422+Argumenter!B430,AND(INPUT!H8=Argumenter!A70,INPUT!J8=Argumenter!B80),Argumenter!B418+Argumenter!B425,AND(INPUT!H8=Argumenter!A71,INPUT!J8=Argumenter!B80),Argumenter!B418+Argumenter!B425,AND(INPUT!H8=Argumenter!A72,INPUT!J8=Argumenter!B80),Argumenter!B418+Argumenter!B425))</f>
        <v>#N/A</v>
      </c>
      <c r="H31" s="228"/>
      <c r="I31" s="396"/>
      <c r="J31" s="241"/>
      <c r="K31" s="241"/>
      <c r="L31" s="241"/>
      <c r="M31" s="227"/>
      <c r="N31" s="241"/>
      <c r="O31" s="240"/>
      <c r="P31" s="399"/>
      <c r="Q31" s="226"/>
      <c r="R31" s="408"/>
      <c r="S31" s="408"/>
    </row>
    <row r="32" spans="1:19" ht="35.1" customHeight="1" x14ac:dyDescent="0.25">
      <c r="A32" s="619"/>
      <c r="B32" s="609"/>
      <c r="C32" s="226" t="s">
        <v>97</v>
      </c>
      <c r="D32" s="10">
        <f>Materialeoutput!H24</f>
        <v>0</v>
      </c>
      <c r="E32" s="161" t="s">
        <v>6</v>
      </c>
      <c r="F32" s="10"/>
      <c r="G32" s="227">
        <v>0</v>
      </c>
      <c r="H32" s="228"/>
      <c r="I32" s="394" t="e">
        <f>$G$31-G32</f>
        <v>#N/A</v>
      </c>
      <c r="J32" s="229"/>
      <c r="K32" s="229"/>
      <c r="L32" s="229"/>
      <c r="M32" s="230"/>
      <c r="N32" s="229"/>
      <c r="O32" s="228"/>
      <c r="P32" s="399"/>
      <c r="Q32" s="231"/>
      <c r="R32" s="408"/>
      <c r="S32" s="492" t="s">
        <v>405</v>
      </c>
    </row>
    <row r="33" spans="1:19" ht="27.6" x14ac:dyDescent="0.25">
      <c r="A33" s="619"/>
      <c r="B33" s="609"/>
      <c r="C33" s="163" t="str">
        <f>Cirkuleringsgreb!B16</f>
        <v>Genanvendelse uden for matriklen</v>
      </c>
      <c r="D33" s="10">
        <f>Materialeoutput!H24</f>
        <v>0</v>
      </c>
      <c r="E33" s="161" t="s">
        <v>6</v>
      </c>
      <c r="F33" s="10"/>
      <c r="G33" s="227" t="e" cm="1">
        <f t="array" ref="G33">(_xlfn.IFS(AND(INPUT!H8=Argumenter!A70,INPUT!J8=Argumenter!B93),Argumenter!B422+Argumenter!B430,AND(INPUT!H8=Argumenter!A71,INPUT!J8=Argumenter!B93),Argumenter!B422+Argumenter!B430,AND(INPUT!H8=Argumenter!A72,INPUT!J8=Argumenter!B93),Argumenter!B421+Argumenter!B429,AND(INPUT!H8=Argumenter!A70,INPUT!J8=Argumenter!B69),Argumenter!B421+Argumenter!B429,AND(INPUT!H8=Argumenter!A71,INPUT!J8=Argumenter!B69),Argumenter!B419+Argumenter!B426,AND(INPUT!H8=Argumenter!A72,INPUT!J8=Argumenter!B69),Argumenter!B422+Argumenter!B430,AND(INPUT!H8=Argumenter!A70,INPUT!J8=Argumenter!B80),Argumenter!B418+Argumenter!B425,AND(INPUT!H8=Argumenter!A71,INPUT!J8=Argumenter!B80),Argumenter!B418+Argumenter!B425,AND(INPUT!H8=Argumenter!A72,INPUT!J8=Argumenter!B80),Argumenter!B418+Argumenter!B425))</f>
        <v>#N/A</v>
      </c>
      <c r="H33" s="228"/>
      <c r="I33" s="394" t="e">
        <f>$G$31-G33</f>
        <v>#N/A</v>
      </c>
      <c r="J33" s="229"/>
      <c r="K33" s="229"/>
      <c r="L33" s="229"/>
      <c r="M33" s="230"/>
      <c r="N33" s="229"/>
      <c r="O33" s="228"/>
      <c r="P33" s="399"/>
      <c r="Q33" s="231"/>
      <c r="R33" s="408"/>
      <c r="S33" s="492" t="s">
        <v>406</v>
      </c>
    </row>
    <row r="34" spans="1:19" ht="27.6" x14ac:dyDescent="0.25">
      <c r="A34" s="619"/>
      <c r="B34" s="610"/>
      <c r="C34" s="234" t="str">
        <f>Cirkuleringsgreb!B17</f>
        <v>Deponi</v>
      </c>
      <c r="D34" s="172">
        <f>Materialeoutput!G38</f>
        <v>0</v>
      </c>
      <c r="E34" s="173" t="s">
        <v>6</v>
      </c>
      <c r="F34" s="10"/>
      <c r="G34" s="235" t="e" cm="1">
        <f t="array" ref="G34">(_xlfn.IFS(AND(INPUT!H8=Argumenter!A70,INPUT!J8=Argumenter!B93),Argumenter!B422+Argumenter!B430,AND(INPUT!H8=Argumenter!A71,INPUT!J8=Argumenter!B93),Argumenter!B422+Argumenter!B430,AND(INPUT!H8=Argumenter!A72,INPUT!J8=Argumenter!B93),Argumenter!B421+Argumenter!B429,AND(INPUT!H8=Argumenter!A70,INPUT!J8=Argumenter!B69),Argumenter!B421+Argumenter!B429,AND(INPUT!H8=Argumenter!A71,INPUT!J8=Argumenter!B69),Argumenter!B419+Argumenter!B426,AND(INPUT!H8=Argumenter!A72,INPUT!J8=Argumenter!B69),Argumenter!B422+Argumenter!B430,AND(INPUT!H8=Argumenter!A70,INPUT!J8=Argumenter!B80),Argumenter!B418+Argumenter!B425,AND(INPUT!H8=Argumenter!A71,INPUT!J8=Argumenter!B80),Argumenter!B418+Argumenter!B425,AND(INPUT!H8=Argumenter!A72,INPUT!J8=Argumenter!B80),Argumenter!B418+Argumenter!B425))</f>
        <v>#N/A</v>
      </c>
      <c r="H34" s="236"/>
      <c r="I34" s="395" t="e">
        <f>$G$31-G34</f>
        <v>#N/A</v>
      </c>
      <c r="J34" s="229"/>
      <c r="K34" s="229"/>
      <c r="L34" s="229"/>
      <c r="M34" s="237"/>
      <c r="N34" s="238"/>
      <c r="O34" s="236"/>
      <c r="P34" s="406"/>
      <c r="Q34" s="404"/>
      <c r="R34" s="409"/>
      <c r="S34" s="493" t="s">
        <v>351</v>
      </c>
    </row>
    <row r="35" spans="1:19" x14ac:dyDescent="0.25">
      <c r="A35" s="619"/>
      <c r="B35" s="226"/>
      <c r="C35" s="226"/>
      <c r="D35" s="226"/>
      <c r="E35" s="226"/>
      <c r="F35" s="226"/>
      <c r="G35" s="226"/>
      <c r="H35" s="226"/>
      <c r="I35" s="226"/>
      <c r="J35" s="226"/>
      <c r="K35" s="226"/>
      <c r="L35" s="226"/>
      <c r="M35" s="226"/>
      <c r="N35" s="226"/>
      <c r="O35" s="226"/>
      <c r="P35" s="226"/>
      <c r="Q35" s="226"/>
      <c r="R35" s="226"/>
      <c r="S35" s="226"/>
    </row>
    <row r="36" spans="1:19" x14ac:dyDescent="0.25">
      <c r="A36" s="619"/>
      <c r="B36" s="226"/>
      <c r="C36" s="226"/>
      <c r="D36" s="226"/>
      <c r="E36" s="226"/>
      <c r="F36" s="226"/>
      <c r="G36" s="226"/>
      <c r="H36" s="226"/>
      <c r="I36" s="226"/>
      <c r="J36" s="226"/>
      <c r="K36" s="226"/>
      <c r="L36" s="226"/>
      <c r="M36" s="226"/>
      <c r="N36" s="226"/>
      <c r="O36" s="226"/>
      <c r="P36" s="226"/>
      <c r="Q36" s="226"/>
      <c r="R36" s="226"/>
      <c r="S36" s="226"/>
    </row>
    <row r="37" spans="1:19" ht="23.4" x14ac:dyDescent="0.25">
      <c r="A37" s="619"/>
      <c r="B37" s="226"/>
      <c r="C37" s="226"/>
      <c r="D37" s="226"/>
      <c r="E37" s="226"/>
      <c r="F37" s="226"/>
      <c r="G37" s="613" t="s">
        <v>233</v>
      </c>
      <c r="H37" s="613"/>
      <c r="I37" s="239"/>
      <c r="J37" s="239"/>
      <c r="K37" s="239"/>
      <c r="L37" s="239"/>
      <c r="M37" s="239"/>
      <c r="N37" s="239" t="s">
        <v>280</v>
      </c>
      <c r="O37" s="239"/>
      <c r="P37" s="226"/>
      <c r="Q37" s="226"/>
      <c r="R37" s="226"/>
      <c r="S37" s="226"/>
    </row>
    <row r="38" spans="1:19" ht="31.5" customHeight="1" x14ac:dyDescent="0.25">
      <c r="A38" s="619"/>
      <c r="B38" s="608" t="s">
        <v>105</v>
      </c>
      <c r="C38" s="389" t="s">
        <v>39</v>
      </c>
      <c r="D38" s="615" t="s">
        <v>54</v>
      </c>
      <c r="E38" s="616"/>
      <c r="F38" s="10"/>
      <c r="G38" s="390" t="s">
        <v>203</v>
      </c>
      <c r="H38" s="391" t="s">
        <v>193</v>
      </c>
      <c r="I38" s="393" t="s">
        <v>220</v>
      </c>
      <c r="J38" s="11"/>
      <c r="K38" s="11"/>
      <c r="L38" s="11"/>
      <c r="M38" s="390" t="s">
        <v>203</v>
      </c>
      <c r="N38" s="392"/>
      <c r="O38" s="391"/>
      <c r="P38" s="390" t="s">
        <v>220</v>
      </c>
      <c r="Q38" s="392"/>
      <c r="R38" s="391"/>
      <c r="S38" s="405" t="s">
        <v>300</v>
      </c>
    </row>
    <row r="39" spans="1:19" x14ac:dyDescent="0.25">
      <c r="A39" s="619"/>
      <c r="B39" s="609"/>
      <c r="C39" s="226" t="s">
        <v>117</v>
      </c>
      <c r="D39" s="10" t="e">
        <f>Materialeoutput!$F$11</f>
        <v>#REF!</v>
      </c>
      <c r="E39" s="161" t="s">
        <v>5</v>
      </c>
      <c r="F39" s="10"/>
      <c r="G39" s="227">
        <f>Argumenter!B443</f>
        <v>75</v>
      </c>
      <c r="H39" s="228" t="s">
        <v>206</v>
      </c>
      <c r="I39" s="396"/>
      <c r="J39" s="241"/>
      <c r="K39" s="241"/>
      <c r="L39" s="241"/>
      <c r="M39" s="227">
        <f>Argumenter!B447</f>
        <v>431.57</v>
      </c>
      <c r="N39" s="241"/>
      <c r="O39" s="240"/>
      <c r="P39" s="399"/>
      <c r="Q39" s="231"/>
      <c r="R39" s="408"/>
      <c r="S39" s="494"/>
    </row>
    <row r="40" spans="1:19" x14ac:dyDescent="0.25">
      <c r="A40" s="619"/>
      <c r="B40" s="609"/>
      <c r="C40" s="226" t="str">
        <f>Cirkuleringsgreb!M15</f>
        <v>Genbrug på matriklen</v>
      </c>
      <c r="D40" s="10" t="e">
        <f>Materialeoutput!$F$11</f>
        <v>#REF!</v>
      </c>
      <c r="E40" s="161" t="s">
        <v>5</v>
      </c>
      <c r="F40" s="10"/>
      <c r="G40" s="227">
        <v>0</v>
      </c>
      <c r="H40" s="228" t="s">
        <v>206</v>
      </c>
      <c r="I40" s="394">
        <f>$G$39-G40</f>
        <v>75</v>
      </c>
      <c r="J40" s="229"/>
      <c r="K40" s="229"/>
      <c r="L40" s="229"/>
      <c r="M40" s="230"/>
      <c r="N40" s="229"/>
      <c r="O40" s="228"/>
      <c r="P40" s="399"/>
      <c r="Q40" s="231"/>
      <c r="R40" s="408"/>
      <c r="S40" s="492" t="s">
        <v>364</v>
      </c>
    </row>
    <row r="41" spans="1:19" ht="27.6" x14ac:dyDescent="0.25">
      <c r="A41" s="619"/>
      <c r="B41" s="609"/>
      <c r="C41" s="163" t="str">
        <f>Cirkuleringsgreb!M16</f>
        <v xml:space="preserve">Genanvendelse uden for matriklen </v>
      </c>
      <c r="D41" s="10" t="e">
        <f>Materialeoutput!$F$11</f>
        <v>#REF!</v>
      </c>
      <c r="E41" s="161" t="s">
        <v>5</v>
      </c>
      <c r="F41" s="10"/>
      <c r="G41" s="227">
        <f>Argumenter!B444</f>
        <v>90</v>
      </c>
      <c r="H41" s="228" t="s">
        <v>206</v>
      </c>
      <c r="I41" s="394">
        <f>$G$39-G41</f>
        <v>-15</v>
      </c>
      <c r="J41" s="229"/>
      <c r="K41" s="229"/>
      <c r="L41" s="229"/>
      <c r="M41" s="230"/>
      <c r="N41" s="229"/>
      <c r="O41" s="228"/>
      <c r="P41" s="399"/>
      <c r="Q41" s="231"/>
      <c r="R41" s="408"/>
      <c r="S41" s="492" t="s">
        <v>408</v>
      </c>
    </row>
    <row r="42" spans="1:19" ht="27.6" x14ac:dyDescent="0.25">
      <c r="A42" s="619"/>
      <c r="B42" s="610"/>
      <c r="C42" s="175" t="str">
        <f>Cirkuleringsgreb!M17</f>
        <v>Downcycling</v>
      </c>
      <c r="D42" s="172" t="e">
        <f>Materialeoutput!$F$11</f>
        <v>#REF!</v>
      </c>
      <c r="E42" s="173" t="s">
        <v>5</v>
      </c>
      <c r="F42" s="10"/>
      <c r="G42" s="235">
        <f>Argumenter!B445</f>
        <v>82.5</v>
      </c>
      <c r="H42" s="236" t="s">
        <v>206</v>
      </c>
      <c r="I42" s="395">
        <f>$G$39-G42</f>
        <v>-7.5</v>
      </c>
      <c r="J42" s="229"/>
      <c r="K42" s="229"/>
      <c r="L42" s="229"/>
      <c r="M42" s="237"/>
      <c r="N42" s="238"/>
      <c r="O42" s="236"/>
      <c r="P42" s="406"/>
      <c r="Q42" s="404"/>
      <c r="R42" s="409"/>
      <c r="S42" s="495" t="s">
        <v>407</v>
      </c>
    </row>
    <row r="43" spans="1:19" x14ac:dyDescent="0.25">
      <c r="A43" s="619"/>
      <c r="B43" s="226"/>
      <c r="C43" s="226"/>
      <c r="D43" s="226"/>
      <c r="E43" s="226"/>
      <c r="F43" s="226"/>
      <c r="G43" s="226"/>
      <c r="H43" s="226"/>
      <c r="I43" s="226"/>
      <c r="J43" s="226"/>
      <c r="K43" s="226"/>
      <c r="L43" s="226"/>
      <c r="M43" s="226"/>
      <c r="N43" s="226"/>
      <c r="O43" s="226"/>
      <c r="P43" s="226"/>
      <c r="Q43" s="226"/>
      <c r="R43" s="226"/>
      <c r="S43" s="226"/>
    </row>
    <row r="44" spans="1:19" x14ac:dyDescent="0.25">
      <c r="A44" s="619"/>
      <c r="B44" s="226"/>
      <c r="C44" s="226"/>
      <c r="D44" s="226"/>
      <c r="E44" s="226"/>
      <c r="F44" s="226"/>
      <c r="G44" s="226"/>
      <c r="H44" s="226"/>
      <c r="I44" s="226"/>
      <c r="J44" s="226"/>
      <c r="K44" s="226"/>
      <c r="L44" s="226"/>
      <c r="M44" s="226"/>
      <c r="N44" s="226"/>
      <c r="O44" s="226"/>
      <c r="P44" s="226"/>
      <c r="Q44" s="226"/>
      <c r="R44" s="226"/>
      <c r="S44" s="226"/>
    </row>
    <row r="45" spans="1:19" x14ac:dyDescent="0.25">
      <c r="A45" s="619"/>
      <c r="B45" s="226"/>
      <c r="C45" s="226"/>
      <c r="D45" s="226"/>
      <c r="E45" s="226"/>
      <c r="F45" s="226"/>
      <c r="G45" s="226"/>
      <c r="H45" s="226"/>
      <c r="I45" s="226"/>
      <c r="J45" s="226"/>
      <c r="K45" s="226"/>
      <c r="L45" s="226"/>
      <c r="M45" s="226"/>
      <c r="N45" s="226"/>
      <c r="O45" s="226"/>
      <c r="P45" s="226"/>
      <c r="Q45" s="226"/>
      <c r="R45" s="226"/>
      <c r="S45" s="226"/>
    </row>
    <row r="46" spans="1:19" ht="23.4" x14ac:dyDescent="0.25">
      <c r="A46" s="619"/>
      <c r="B46" s="226"/>
      <c r="C46" s="226"/>
      <c r="D46" s="226"/>
      <c r="E46" s="226"/>
      <c r="F46" s="226"/>
      <c r="G46" s="613" t="s">
        <v>121</v>
      </c>
      <c r="H46" s="613"/>
      <c r="I46" s="239"/>
      <c r="J46" s="239"/>
      <c r="K46" s="239"/>
      <c r="L46" s="239"/>
      <c r="M46" s="239"/>
      <c r="N46" s="239" t="s">
        <v>280</v>
      </c>
      <c r="O46" s="239"/>
      <c r="P46" s="226"/>
      <c r="Q46" s="226"/>
      <c r="R46" s="226"/>
      <c r="S46" s="226"/>
    </row>
    <row r="47" spans="1:19" ht="31.5" customHeight="1" x14ac:dyDescent="0.25">
      <c r="A47" s="619"/>
      <c r="B47" s="608" t="s">
        <v>115</v>
      </c>
      <c r="C47" s="389" t="s">
        <v>39</v>
      </c>
      <c r="D47" s="615" t="s">
        <v>54</v>
      </c>
      <c r="E47" s="616"/>
      <c r="F47" s="10"/>
      <c r="G47" s="390" t="s">
        <v>203</v>
      </c>
      <c r="H47" s="391" t="s">
        <v>193</v>
      </c>
      <c r="I47" s="393" t="s">
        <v>220</v>
      </c>
      <c r="J47" s="11"/>
      <c r="K47" s="11"/>
      <c r="L47" s="11"/>
      <c r="M47" s="390"/>
      <c r="N47" s="392"/>
      <c r="O47" s="391"/>
      <c r="P47" s="390" t="s">
        <v>220</v>
      </c>
      <c r="Q47" s="392"/>
      <c r="R47" s="391"/>
      <c r="S47" s="405" t="s">
        <v>300</v>
      </c>
    </row>
    <row r="48" spans="1:19" x14ac:dyDescent="0.25">
      <c r="A48" s="619"/>
      <c r="B48" s="609"/>
      <c r="C48" s="226" t="s">
        <v>117</v>
      </c>
      <c r="D48" s="10" t="e">
        <f>Materialeoutput!$F$13</f>
        <v>#REF!</v>
      </c>
      <c r="E48" s="161" t="s">
        <v>5</v>
      </c>
      <c r="F48" s="10"/>
      <c r="G48" s="227" t="e" cm="1">
        <f t="array" ref="G48">_xlfn.IFS(AND(INPUT!H18=Argumenter!A459),Argumenter!B460,AND(INPUT!H18=Argumenter!A470),Argumenter!B471)</f>
        <v>#N/A</v>
      </c>
      <c r="H48" s="240"/>
      <c r="I48" s="396"/>
      <c r="J48" s="241"/>
      <c r="K48" s="241"/>
      <c r="L48" s="241"/>
      <c r="M48" s="227"/>
      <c r="N48" s="241"/>
      <c r="O48" s="240"/>
      <c r="P48" s="399"/>
      <c r="Q48" s="231"/>
      <c r="R48" s="408"/>
      <c r="S48" s="494"/>
    </row>
    <row r="49" spans="1:19" x14ac:dyDescent="0.25">
      <c r="A49" s="619"/>
      <c r="B49" s="609"/>
      <c r="C49" s="226" t="s">
        <v>97</v>
      </c>
      <c r="D49" s="10" t="e">
        <f>Materialeoutput!$F$13</f>
        <v>#REF!</v>
      </c>
      <c r="E49" s="161" t="s">
        <v>5</v>
      </c>
      <c r="F49" s="10"/>
      <c r="G49" s="227" t="e" cm="1">
        <f t="array" ref="G49">_xlfn.IFS(AND(INPUT!H18=Argumenter!A459),Argumenter!B461,AND(INPUT!H18=Argumenter!A470),Argumenter!B472)</f>
        <v>#N/A</v>
      </c>
      <c r="H49" s="228"/>
      <c r="I49" s="394" t="e">
        <f>$G$48-G49</f>
        <v>#N/A</v>
      </c>
      <c r="J49" s="229"/>
      <c r="K49" s="229"/>
      <c r="L49" s="229"/>
      <c r="M49" s="230"/>
      <c r="N49" s="229"/>
      <c r="O49" s="228"/>
      <c r="P49" s="399"/>
      <c r="Q49" s="231"/>
      <c r="R49" s="408"/>
      <c r="S49" s="494" t="e" cm="1">
        <f t="array" ref="S49">_xlfn.IFS(AND(INPUT!H18=Argumenter!A459),Argumenter!B483,AND(INPUT!H18=Argumenter!A470),Argumenter!B484)</f>
        <v>#N/A</v>
      </c>
    </row>
    <row r="50" spans="1:19" x14ac:dyDescent="0.25">
      <c r="A50" s="619"/>
      <c r="B50" s="609"/>
      <c r="C50" s="226" t="s">
        <v>98</v>
      </c>
      <c r="D50" s="10" t="e">
        <f>Materialeoutput!$F$13</f>
        <v>#REF!</v>
      </c>
      <c r="E50" s="161" t="s">
        <v>5</v>
      </c>
      <c r="F50" s="10"/>
      <c r="G50" s="227" t="e" cm="1">
        <f t="array" ref="G50">_xlfn.IFS(AND(INPUT!H18=Argumenter!A459),Argumenter!B461,AND(INPUT!H18=Argumenter!A470),Argumenter!B472)</f>
        <v>#N/A</v>
      </c>
      <c r="H50" s="228"/>
      <c r="I50" s="394" t="e">
        <f>$G$48-G50</f>
        <v>#N/A</v>
      </c>
      <c r="J50" s="229"/>
      <c r="K50" s="229"/>
      <c r="L50" s="229"/>
      <c r="M50" s="230"/>
      <c r="N50" s="229"/>
      <c r="O50" s="228"/>
      <c r="P50" s="399"/>
      <c r="Q50" s="226"/>
      <c r="R50" s="408"/>
      <c r="S50" s="494" t="e" cm="1">
        <f t="array" ref="S50">_xlfn.IFS(AND(INPUT!H18=Argumenter!A459),Argumenter!B486,AND(INPUT!H18=Argumenter!A470),Argumenter!B487)</f>
        <v>#N/A</v>
      </c>
    </row>
    <row r="51" spans="1:19" x14ac:dyDescent="0.25">
      <c r="A51" s="619"/>
      <c r="B51" s="610"/>
      <c r="C51" s="234" t="s">
        <v>99</v>
      </c>
      <c r="D51" s="172">
        <f>Materialeoutput!G42</f>
        <v>0</v>
      </c>
      <c r="E51" s="173" t="s">
        <v>11</v>
      </c>
      <c r="F51" s="10"/>
      <c r="G51" s="235" t="e" cm="1">
        <f t="array" ref="G51">_xlfn.IFS(AND(INPUT!H18=Argumenter!A459),Argumenter!B460,AND(INPUT!H18=Argumenter!A470),Argumenter!B471)</f>
        <v>#N/A</v>
      </c>
      <c r="H51" s="236"/>
      <c r="I51" s="395" t="e">
        <f>$G$48-G51</f>
        <v>#N/A</v>
      </c>
      <c r="J51" s="229"/>
      <c r="K51" s="229"/>
      <c r="L51" s="229"/>
      <c r="M51" s="237"/>
      <c r="N51" s="238"/>
      <c r="O51" s="236"/>
      <c r="P51" s="406"/>
      <c r="Q51" s="234"/>
      <c r="R51" s="409"/>
      <c r="S51" s="496" t="e" cm="1">
        <f t="array" ref="S51">_xlfn.IFS(AND(INPUT!H18=Argumenter!A459),Argumenter!B489,AND(INPUT!H18=Argumenter!A470),Argumenter!B490)</f>
        <v>#N/A</v>
      </c>
    </row>
  </sheetData>
  <mergeCells count="23">
    <mergeCell ref="A4:A25"/>
    <mergeCell ref="A30:A51"/>
    <mergeCell ref="B47:B51"/>
    <mergeCell ref="D47:E47"/>
    <mergeCell ref="G37:H37"/>
    <mergeCell ref="B38:B42"/>
    <mergeCell ref="D38:E38"/>
    <mergeCell ref="G46:H46"/>
    <mergeCell ref="B29:E29"/>
    <mergeCell ref="G29:H29"/>
    <mergeCell ref="B30:B34"/>
    <mergeCell ref="D30:E30"/>
    <mergeCell ref="G20:H20"/>
    <mergeCell ref="D12:E12"/>
    <mergeCell ref="D21:E21"/>
    <mergeCell ref="B12:B16"/>
    <mergeCell ref="B21:B25"/>
    <mergeCell ref="G2:H2"/>
    <mergeCell ref="G3:H3"/>
    <mergeCell ref="G11:H11"/>
    <mergeCell ref="B3:E3"/>
    <mergeCell ref="D4:E4"/>
    <mergeCell ref="B4:B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8538191-b01d-422d-b3d4-47a8510dc08b">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7C13CBC1EED2E468EFF6D8EE4B8EDB5" ma:contentTypeVersion="12" ma:contentTypeDescription="Opret et nyt dokument." ma:contentTypeScope="" ma:versionID="5077ba0857f44d30cc1b4df6f993460d">
  <xsd:schema xmlns:xsd="http://www.w3.org/2001/XMLSchema" xmlns:xs="http://www.w3.org/2001/XMLSchema" xmlns:p="http://schemas.microsoft.com/office/2006/metadata/properties" xmlns:ns2="4d3ea3af-1976-41d2-832e-f02140f3e8ba" xmlns:ns3="98538191-b01d-422d-b3d4-47a8510dc08b" targetNamespace="http://schemas.microsoft.com/office/2006/metadata/properties" ma:root="true" ma:fieldsID="be3bf58ea000bb1f65c8502e184c3aab" ns2:_="" ns3:_="">
    <xsd:import namespace="4d3ea3af-1976-41d2-832e-f02140f3e8ba"/>
    <xsd:import namespace="98538191-b01d-422d-b3d4-47a8510dc0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ea3af-1976-41d2-832e-f02140f3e8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8538191-b01d-422d-b3d4-47a8510dc08b"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4DC9D9-CF4F-4116-B0D1-AAFD237281A1}">
  <ds:schemaRefs>
    <ds:schemaRef ds:uri="http://schemas.openxmlformats.org/package/2006/metadata/core-properties"/>
    <ds:schemaRef ds:uri="http://purl.org/dc/dcmitype/"/>
    <ds:schemaRef ds:uri="http://purl.org/dc/terms/"/>
    <ds:schemaRef ds:uri="http://www.w3.org/XML/1998/namespace"/>
    <ds:schemaRef ds:uri="http://purl.org/dc/elements/1.1/"/>
    <ds:schemaRef ds:uri="http://schemas.microsoft.com/office/2006/documentManagement/types"/>
    <ds:schemaRef ds:uri="http://schemas.microsoft.com/office/infopath/2007/PartnerControls"/>
    <ds:schemaRef ds:uri="0531a578-ead4-4344-ba77-5a434ec93afb"/>
    <ds:schemaRef ds:uri="http://schemas.microsoft.com/office/2006/metadata/properties"/>
    <ds:schemaRef ds:uri="98538191-b01d-422d-b3d4-47a8510dc08b"/>
  </ds:schemaRefs>
</ds:datastoreItem>
</file>

<file path=customXml/itemProps2.xml><?xml version="1.0" encoding="utf-8"?>
<ds:datastoreItem xmlns:ds="http://schemas.openxmlformats.org/officeDocument/2006/customXml" ds:itemID="{CA994840-E8E8-42D7-9339-8860763D2F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3ea3af-1976-41d2-832e-f02140f3e8ba"/>
    <ds:schemaRef ds:uri="98538191-b01d-422d-b3d4-47a8510dc0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4636853-C1FD-49DB-B8A5-ED88FCCB4C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10</vt:i4>
      </vt:variant>
    </vt:vector>
  </HeadingPairs>
  <TitlesOfParts>
    <vt:vector size="10" baseType="lpstr">
      <vt:lpstr>INTRO</vt:lpstr>
      <vt:lpstr>INPUT</vt:lpstr>
      <vt:lpstr>OUTPUT</vt:lpstr>
      <vt:lpstr>KOMMUNIKATION</vt:lpstr>
      <vt:lpstr>Argumenter</vt:lpstr>
      <vt:lpstr>Cirkuleringsgreb</vt:lpstr>
      <vt:lpstr>Materialeoutput</vt:lpstr>
      <vt:lpstr>Reference Hus</vt:lpstr>
      <vt:lpstr>Økonomi</vt:lpstr>
      <vt:lpstr>Ekstra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Tim Riis Tolman</dc:creator>
  <cp:lastModifiedBy>Dorthe Nielsen</cp:lastModifiedBy>
  <cp:lastPrinted>2020-01-15T10:34:15Z</cp:lastPrinted>
  <dcterms:created xsi:type="dcterms:W3CDTF">2019-12-05T08:11:49Z</dcterms:created>
  <dcterms:modified xsi:type="dcterms:W3CDTF">2025-08-20T11:59:53Z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0x01010007C13CBC1EED2E468EFF6D8EE4B8EDB5</vt:lpwstr>
  </property>
  <property fmtid="{D5CDD505-2E9C-101B-9397-08002B2CF9AE}" pid="3" name="Order">
    <vt:r8>20900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