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6.xml" ContentType="application/vnd.ms-excel.controlproperties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trlProps/ctrlProp10.xml" ContentType="application/vnd.ms-excel.controlpropertie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kksky-my.sharepoint.com/personal/h080_kk_dk/Documents/Skrivebord/Publikationsdatabase/bygningsrenoveringspuljen - kvaificeret ansøgning/"/>
    </mc:Choice>
  </mc:AlternateContent>
  <xr:revisionPtr revIDLastSave="0" documentId="8_{4F9D5722-9CB1-46C4-803C-776BEB3B1DB5}" xr6:coauthVersionLast="47" xr6:coauthVersionMax="47" xr10:uidLastSave="{00000000-0000-0000-0000-000000000000}"/>
  <bookViews>
    <workbookView xWindow="-120" yWindow="-120" windowWidth="29040" windowHeight="17520" tabRatio="808" activeTab="2" xr2:uid="{00000000-000D-0000-FFFF-FFFF00000000}"/>
  </bookViews>
  <sheets>
    <sheet name="Fakta ark" sheetId="15" r:id="rId1"/>
    <sheet name="Versionsstyring" sheetId="19" state="hidden" r:id="rId2"/>
    <sheet name="Ansøgning" sheetId="8" r:id="rId3"/>
    <sheet name="Ændringer" sheetId="9" state="hidden" r:id="rId4"/>
    <sheet name="Tilsagn" sheetId="10" state="hidden" r:id="rId5"/>
    <sheet name="Licitation - Ansøger" sheetId="11" r:id="rId6"/>
    <sheet name="Ændringer 1" sheetId="12" state="hidden" r:id="rId7"/>
    <sheet name="Licitation" sheetId="17" state="hidden" r:id="rId8"/>
    <sheet name="Regnskab - Ansøger" sheetId="13" r:id="rId9"/>
    <sheet name="Ændringer 2" sheetId="14" state="hidden" r:id="rId10"/>
    <sheet name="Regnskab" sheetId="18" state="hidden" r:id="rId11"/>
  </sheets>
  <definedNames>
    <definedName name="Egenfinansiering">Ansøgning!#REF!</definedName>
    <definedName name="_xlnm.Print_Area" localSheetId="2">Ansøgning!$A$1:$R$115</definedName>
    <definedName name="_xlnm.Print_Area" localSheetId="7">Licitation!$A$1:$O$57</definedName>
    <definedName name="_xlnm.Print_Area" localSheetId="10">Regnskab!$A$1:$N$55</definedName>
    <definedName name="_xlnm.Print_Area" localSheetId="4">Tilsagn!$A$1:$N$53</definedName>
    <definedName name="_xlnm.Print_Area" localSheetId="3">Ændringer!$A$1:$K$36</definedName>
    <definedName name="_xlnm.Print_Area" localSheetId="6">'Ændringer 1'!$A$1:$K$36</definedName>
    <definedName name="_xlnm.Print_Area" localSheetId="9">'Ændringer 2'!$A$1:$K$36</definedName>
    <definedName name="Version">Versionsstyring!$A$2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19" l="1"/>
  <c r="E34" i="12"/>
  <c r="E33" i="14"/>
  <c r="E26" i="12"/>
  <c r="E25" i="14"/>
  <c r="L28" i="17"/>
  <c r="L29" i="17"/>
  <c r="E25" i="9"/>
  <c r="E25" i="12"/>
  <c r="H2" i="14"/>
  <c r="H2" i="12"/>
  <c r="I2" i="14"/>
  <c r="I2" i="9"/>
  <c r="J77" i="8" l="1"/>
  <c r="J74" i="8"/>
  <c r="I24" i="9"/>
  <c r="G21" i="12" l="1"/>
  <c r="L3" i="18" l="1"/>
  <c r="N68" i="13"/>
  <c r="L3" i="17"/>
  <c r="N68" i="11"/>
  <c r="L3" i="10"/>
  <c r="N64" i="8"/>
  <c r="F6" i="15"/>
  <c r="F5" i="15"/>
  <c r="F4" i="15"/>
  <c r="F3" i="15"/>
  <c r="C7" i="15"/>
  <c r="C6" i="15"/>
  <c r="C5" i="15"/>
  <c r="C4" i="15"/>
  <c r="C3" i="15"/>
  <c r="C13" i="15"/>
  <c r="E5" i="11"/>
  <c r="P7" i="13"/>
  <c r="K7" i="13"/>
  <c r="E7" i="13"/>
  <c r="P6" i="13"/>
  <c r="K6" i="13"/>
  <c r="I5" i="15" s="1"/>
  <c r="E6" i="13"/>
  <c r="I4" i="15" s="1"/>
  <c r="E5" i="13"/>
  <c r="I3" i="15" s="1"/>
  <c r="K7" i="11"/>
  <c r="P6" i="11"/>
  <c r="P7" i="11"/>
  <c r="K6" i="11"/>
  <c r="E6" i="11"/>
  <c r="E7" i="11"/>
  <c r="C9" i="15" l="1"/>
  <c r="G21" i="14"/>
  <c r="C35" i="15"/>
  <c r="I46" i="9"/>
  <c r="H5" i="19"/>
  <c r="H6" i="19"/>
  <c r="H7" i="19"/>
  <c r="H46" i="12" l="1"/>
  <c r="C14" i="15" l="1"/>
  <c r="C11" i="15"/>
  <c r="J94" i="13" l="1"/>
  <c r="I5" i="17"/>
  <c r="E52" i="12"/>
  <c r="E51" i="12"/>
  <c r="E50" i="12"/>
  <c r="C42" i="12"/>
  <c r="I7" i="18" l="1"/>
  <c r="E52" i="14" l="1"/>
  <c r="E51" i="14"/>
  <c r="E50" i="14"/>
  <c r="C42" i="14"/>
  <c r="I5" i="18" l="1"/>
  <c r="I8" i="18"/>
  <c r="I9" i="18"/>
  <c r="I12" i="18"/>
  <c r="I13" i="18"/>
  <c r="I15" i="18"/>
  <c r="I16" i="18"/>
  <c r="I17" i="18"/>
  <c r="I18" i="18"/>
  <c r="I19" i="18"/>
  <c r="I16" i="17"/>
  <c r="I12" i="17"/>
  <c r="I13" i="17"/>
  <c r="I15" i="17"/>
  <c r="I17" i="17"/>
  <c r="I18" i="17"/>
  <c r="I19" i="17"/>
  <c r="J94" i="11" l="1"/>
  <c r="J90" i="8"/>
  <c r="F32" i="15" l="1"/>
  <c r="I11" i="15" l="1"/>
  <c r="I10" i="15"/>
  <c r="I7" i="15"/>
  <c r="I8" i="15"/>
  <c r="I6" i="15"/>
  <c r="A1" i="18"/>
  <c r="H53" i="14" l="1"/>
  <c r="I54" i="9"/>
  <c r="M34" i="14"/>
  <c r="H57" i="14" l="1"/>
  <c r="H58" i="14" s="1"/>
  <c r="I9" i="15" l="1"/>
  <c r="F9" i="15" l="1"/>
  <c r="H54" i="14" l="1"/>
  <c r="H46" i="14"/>
  <c r="I47" i="14" s="1"/>
  <c r="I2" i="12"/>
  <c r="L51" i="18" l="1"/>
  <c r="K51" i="18"/>
  <c r="N116" i="13"/>
  <c r="L116" i="13"/>
  <c r="J116" i="13" s="1"/>
  <c r="L51" i="17"/>
  <c r="K51" i="17"/>
  <c r="N116" i="11"/>
  <c r="L116" i="11"/>
  <c r="L51" i="10"/>
  <c r="K51" i="10"/>
  <c r="N112" i="8"/>
  <c r="L112" i="8"/>
  <c r="H2" i="9"/>
  <c r="J51" i="18" l="1"/>
  <c r="J51" i="17"/>
  <c r="J116" i="11"/>
  <c r="J112" i="8"/>
  <c r="J51" i="10"/>
  <c r="I21" i="14" l="1"/>
  <c r="L29" i="18"/>
  <c r="K29" i="18"/>
  <c r="M29" i="18" s="1"/>
  <c r="L5" i="18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K5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L4" i="18"/>
  <c r="K4" i="18"/>
  <c r="I21" i="17" l="1"/>
  <c r="I33" i="14"/>
  <c r="I32" i="14"/>
  <c r="I31" i="14"/>
  <c r="I30" i="14"/>
  <c r="I29" i="14"/>
  <c r="I28" i="14"/>
  <c r="I27" i="14"/>
  <c r="I26" i="14"/>
  <c r="I25" i="14"/>
  <c r="I24" i="14"/>
  <c r="I23" i="14"/>
  <c r="M23" i="14" s="1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3" i="14"/>
  <c r="G4" i="14"/>
  <c r="G5" i="14"/>
  <c r="G6" i="14"/>
  <c r="G7" i="14"/>
  <c r="G8" i="14"/>
  <c r="M8" i="14" s="1"/>
  <c r="G9" i="14"/>
  <c r="G10" i="14"/>
  <c r="G11" i="14"/>
  <c r="G12" i="14"/>
  <c r="G13" i="14"/>
  <c r="G14" i="14"/>
  <c r="G15" i="14"/>
  <c r="G16" i="14"/>
  <c r="M16" i="14" s="1"/>
  <c r="G17" i="14"/>
  <c r="G18" i="14"/>
  <c r="G19" i="14"/>
  <c r="G20" i="14"/>
  <c r="G3" i="14"/>
  <c r="J86" i="13"/>
  <c r="J85" i="13"/>
  <c r="J84" i="13"/>
  <c r="J83" i="13"/>
  <c r="J82" i="13"/>
  <c r="J81" i="13"/>
  <c r="J80" i="13"/>
  <c r="J79" i="13"/>
  <c r="J78" i="13"/>
  <c r="J77" i="13"/>
  <c r="J76" i="13"/>
  <c r="J75" i="13"/>
  <c r="J74" i="13"/>
  <c r="J73" i="13"/>
  <c r="J72" i="13"/>
  <c r="J71" i="13"/>
  <c r="J70" i="13"/>
  <c r="J69" i="13"/>
  <c r="P90" i="13" s="1"/>
  <c r="I21" i="18"/>
  <c r="I20" i="18"/>
  <c r="I14" i="18"/>
  <c r="I11" i="18"/>
  <c r="I10" i="18"/>
  <c r="I6" i="18"/>
  <c r="I4" i="18"/>
  <c r="F11" i="15"/>
  <c r="C12" i="15"/>
  <c r="F10" i="15"/>
  <c r="C10" i="15"/>
  <c r="F8" i="15"/>
  <c r="F7" i="15"/>
  <c r="A1" i="17"/>
  <c r="M12" i="14" l="1"/>
  <c r="P89" i="13"/>
  <c r="M4" i="14"/>
  <c r="L90" i="13"/>
  <c r="L89" i="13"/>
  <c r="L87" i="13"/>
  <c r="L106" i="13" s="1"/>
  <c r="L111" i="13" s="1"/>
  <c r="M15" i="14"/>
  <c r="M11" i="14"/>
  <c r="J23" i="14"/>
  <c r="M20" i="14"/>
  <c r="P87" i="13"/>
  <c r="P104" i="13" s="1"/>
  <c r="M7" i="14"/>
  <c r="M19" i="14"/>
  <c r="J24" i="14"/>
  <c r="M24" i="14"/>
  <c r="J28" i="14"/>
  <c r="M28" i="14"/>
  <c r="J32" i="14"/>
  <c r="M32" i="14"/>
  <c r="J29" i="14"/>
  <c r="M29" i="14"/>
  <c r="M18" i="14"/>
  <c r="M14" i="14"/>
  <c r="M10" i="14"/>
  <c r="M6" i="14"/>
  <c r="J26" i="14"/>
  <c r="M26" i="14"/>
  <c r="J30" i="14"/>
  <c r="M30" i="14"/>
  <c r="M3" i="14"/>
  <c r="M17" i="14"/>
  <c r="M13" i="14"/>
  <c r="M9" i="14"/>
  <c r="M5" i="14"/>
  <c r="J27" i="14"/>
  <c r="M27" i="14"/>
  <c r="J31" i="14"/>
  <c r="M31" i="14"/>
  <c r="J18" i="14"/>
  <c r="M19" i="18" s="1"/>
  <c r="J19" i="18" s="1"/>
  <c r="J14" i="14"/>
  <c r="M15" i="18" s="1"/>
  <c r="J15" i="18" s="1"/>
  <c r="J19" i="14"/>
  <c r="M20" i="18" s="1"/>
  <c r="J20" i="18" s="1"/>
  <c r="J15" i="14"/>
  <c r="M16" i="18" s="1"/>
  <c r="J16" i="18" s="1"/>
  <c r="J11" i="14"/>
  <c r="M12" i="18" s="1"/>
  <c r="J12" i="18" s="1"/>
  <c r="J7" i="14"/>
  <c r="M8" i="18" s="1"/>
  <c r="J8" i="18" s="1"/>
  <c r="N87" i="13"/>
  <c r="N100" i="13" s="1"/>
  <c r="J10" i="14"/>
  <c r="M11" i="18" s="1"/>
  <c r="J11" i="18" s="1"/>
  <c r="J6" i="14"/>
  <c r="M7" i="18" s="1"/>
  <c r="J7" i="18" s="1"/>
  <c r="M21" i="14"/>
  <c r="N89" i="13"/>
  <c r="N90" i="13"/>
  <c r="J3" i="14"/>
  <c r="M4" i="18" s="1"/>
  <c r="J4" i="18" s="1"/>
  <c r="J17" i="14"/>
  <c r="M18" i="18" s="1"/>
  <c r="J18" i="18" s="1"/>
  <c r="J5" i="14"/>
  <c r="M6" i="18" s="1"/>
  <c r="J6" i="18" s="1"/>
  <c r="J20" i="14"/>
  <c r="M21" i="18" s="1"/>
  <c r="J16" i="14"/>
  <c r="M17" i="18" s="1"/>
  <c r="J17" i="18" s="1"/>
  <c r="J12" i="14"/>
  <c r="M13" i="18" s="1"/>
  <c r="J13" i="18" s="1"/>
  <c r="J8" i="14"/>
  <c r="M9" i="18" s="1"/>
  <c r="J9" i="18" s="1"/>
  <c r="J4" i="14"/>
  <c r="M5" i="18" s="1"/>
  <c r="J5" i="18" s="1"/>
  <c r="J13" i="14"/>
  <c r="M14" i="18" s="1"/>
  <c r="J14" i="18" s="1"/>
  <c r="J9" i="14"/>
  <c r="M10" i="18" s="1"/>
  <c r="J10" i="18" s="1"/>
  <c r="E53" i="14"/>
  <c r="K24" i="18" l="1"/>
  <c r="K25" i="18" s="1"/>
  <c r="L101" i="13"/>
  <c r="L91" i="13"/>
  <c r="L92" i="13" s="1"/>
  <c r="L98" i="13"/>
  <c r="L104" i="13"/>
  <c r="L97" i="13"/>
  <c r="L109" i="13" s="1"/>
  <c r="L103" i="13"/>
  <c r="L110" i="13" s="1"/>
  <c r="L105" i="13"/>
  <c r="P97" i="13"/>
  <c r="L100" i="13"/>
  <c r="P101" i="13"/>
  <c r="P105" i="13"/>
  <c r="P98" i="13"/>
  <c r="P100" i="13"/>
  <c r="P91" i="13"/>
  <c r="P106" i="13"/>
  <c r="P111" i="13" s="1"/>
  <c r="P103" i="13"/>
  <c r="N91" i="13"/>
  <c r="N92" i="13" s="1"/>
  <c r="F33" i="15"/>
  <c r="N97" i="13"/>
  <c r="N109" i="13" s="1"/>
  <c r="N104" i="13"/>
  <c r="N98" i="13"/>
  <c r="N105" i="13"/>
  <c r="N103" i="13"/>
  <c r="N110" i="13" s="1"/>
  <c r="N101" i="13"/>
  <c r="N102" i="13" s="1"/>
  <c r="N106" i="13"/>
  <c r="N111" i="13" s="1"/>
  <c r="M24" i="18"/>
  <c r="J21" i="14"/>
  <c r="J29" i="18" s="1"/>
  <c r="E57" i="14"/>
  <c r="C47" i="14" s="1"/>
  <c r="L30" i="18"/>
  <c r="G20" i="9"/>
  <c r="C31" i="15"/>
  <c r="L102" i="13" l="1"/>
  <c r="L107" i="13"/>
  <c r="P109" i="13"/>
  <c r="J109" i="13" s="1"/>
  <c r="P110" i="13"/>
  <c r="J110" i="13" s="1"/>
  <c r="P92" i="13"/>
  <c r="J92" i="13" s="1"/>
  <c r="P102" i="13"/>
  <c r="P107" i="13"/>
  <c r="J111" i="13"/>
  <c r="L24" i="18"/>
  <c r="L25" i="18" s="1"/>
  <c r="N107" i="13"/>
  <c r="K30" i="18"/>
  <c r="C34" i="15"/>
  <c r="C8" i="15"/>
  <c r="A1" i="10"/>
  <c r="J102" i="13" l="1"/>
  <c r="M25" i="18"/>
  <c r="J25" i="18" s="1"/>
  <c r="J107" i="13"/>
  <c r="P95" i="13"/>
  <c r="N95" i="13"/>
  <c r="L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4" i="17"/>
  <c r="I34" i="12"/>
  <c r="I33" i="12"/>
  <c r="I32" i="12"/>
  <c r="I31" i="12"/>
  <c r="I30" i="12"/>
  <c r="I29" i="12"/>
  <c r="I28" i="12"/>
  <c r="I27" i="12"/>
  <c r="I26" i="12"/>
  <c r="H26" i="12" s="1"/>
  <c r="I24" i="12"/>
  <c r="I23" i="12"/>
  <c r="I6" i="17"/>
  <c r="I7" i="17"/>
  <c r="I8" i="17"/>
  <c r="I9" i="17"/>
  <c r="I10" i="17"/>
  <c r="I11" i="17"/>
  <c r="I14" i="17"/>
  <c r="I20" i="17"/>
  <c r="I4" i="17"/>
  <c r="I21" i="12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3" i="12"/>
  <c r="G4" i="12"/>
  <c r="G5" i="12"/>
  <c r="G6" i="12"/>
  <c r="G7" i="12"/>
  <c r="G8" i="12"/>
  <c r="G9" i="12"/>
  <c r="G10" i="12"/>
  <c r="G11" i="12"/>
  <c r="G12" i="12"/>
  <c r="G13" i="12"/>
  <c r="G14" i="12"/>
  <c r="M14" i="12" s="1"/>
  <c r="G15" i="12"/>
  <c r="G16" i="12"/>
  <c r="G17" i="12"/>
  <c r="G18" i="12"/>
  <c r="M18" i="12" s="1"/>
  <c r="G19" i="12"/>
  <c r="G20" i="12"/>
  <c r="G3" i="12"/>
  <c r="I52" i="12"/>
  <c r="F28" i="15" s="1"/>
  <c r="B25" i="12"/>
  <c r="J86" i="11"/>
  <c r="J85" i="11"/>
  <c r="J84" i="11"/>
  <c r="J83" i="11"/>
  <c r="J82" i="11"/>
  <c r="J81" i="11"/>
  <c r="J80" i="11"/>
  <c r="J79" i="11"/>
  <c r="J78" i="11"/>
  <c r="J77" i="11"/>
  <c r="J76" i="11"/>
  <c r="J75" i="11"/>
  <c r="J74" i="11"/>
  <c r="J73" i="11"/>
  <c r="J72" i="11"/>
  <c r="J71" i="11"/>
  <c r="J70" i="11"/>
  <c r="J69" i="11"/>
  <c r="M17" i="12" l="1"/>
  <c r="M10" i="12"/>
  <c r="M13" i="12"/>
  <c r="M6" i="12"/>
  <c r="N89" i="11"/>
  <c r="M5" i="12"/>
  <c r="M3" i="12"/>
  <c r="M21" i="12"/>
  <c r="M19" i="12"/>
  <c r="M15" i="12"/>
  <c r="M11" i="12"/>
  <c r="M7" i="12"/>
  <c r="J9" i="12"/>
  <c r="M10" i="17" s="1"/>
  <c r="J10" i="17" s="1"/>
  <c r="M9" i="12"/>
  <c r="J24" i="12"/>
  <c r="M24" i="12"/>
  <c r="J29" i="12"/>
  <c r="M29" i="12"/>
  <c r="J33" i="12"/>
  <c r="M33" i="12"/>
  <c r="J28" i="12"/>
  <c r="M28" i="12"/>
  <c r="M20" i="12"/>
  <c r="M16" i="12"/>
  <c r="J12" i="12"/>
  <c r="M13" i="17" s="1"/>
  <c r="J13" i="17" s="1"/>
  <c r="M12" i="12"/>
  <c r="M8" i="12"/>
  <c r="M4" i="12"/>
  <c r="J30" i="12"/>
  <c r="M30" i="12"/>
  <c r="J23" i="12"/>
  <c r="M23" i="12"/>
  <c r="J32" i="12"/>
  <c r="M32" i="12"/>
  <c r="J27" i="12"/>
  <c r="M27" i="12"/>
  <c r="J31" i="12"/>
  <c r="M31" i="12"/>
  <c r="I12" i="15"/>
  <c r="F12" i="15"/>
  <c r="F29" i="15"/>
  <c r="N90" i="11"/>
  <c r="J5" i="12"/>
  <c r="M6" i="17" s="1"/>
  <c r="J6" i="17" s="1"/>
  <c r="L95" i="13"/>
  <c r="J20" i="12"/>
  <c r="J18" i="12"/>
  <c r="M19" i="17" s="1"/>
  <c r="J19" i="17" s="1"/>
  <c r="J6" i="12"/>
  <c r="M7" i="17" s="1"/>
  <c r="J7" i="17" s="1"/>
  <c r="J10" i="12"/>
  <c r="M11" i="17" s="1"/>
  <c r="J11" i="17" s="1"/>
  <c r="J17" i="12"/>
  <c r="M18" i="17" s="1"/>
  <c r="J18" i="17" s="1"/>
  <c r="J14" i="12"/>
  <c r="M15" i="17" s="1"/>
  <c r="J15" i="17" s="1"/>
  <c r="J8" i="12"/>
  <c r="M9" i="17" s="1"/>
  <c r="J9" i="17" s="1"/>
  <c r="P89" i="11"/>
  <c r="P87" i="11"/>
  <c r="P104" i="11" s="1"/>
  <c r="P90" i="11"/>
  <c r="L89" i="11"/>
  <c r="N87" i="11"/>
  <c r="J4" i="12"/>
  <c r="M5" i="17" s="1"/>
  <c r="J5" i="17" s="1"/>
  <c r="J13" i="12"/>
  <c r="M14" i="17" s="1"/>
  <c r="J14" i="17" s="1"/>
  <c r="L90" i="11"/>
  <c r="L87" i="11"/>
  <c r="L106" i="11" s="1"/>
  <c r="L111" i="11" s="1"/>
  <c r="J16" i="12"/>
  <c r="M17" i="17" s="1"/>
  <c r="J17" i="17" s="1"/>
  <c r="J21" i="12"/>
  <c r="J19" i="12"/>
  <c r="M20" i="17" s="1"/>
  <c r="J20" i="17" s="1"/>
  <c r="J15" i="12"/>
  <c r="M16" i="17" s="1"/>
  <c r="J16" i="17" s="1"/>
  <c r="J11" i="12"/>
  <c r="M12" i="17" s="1"/>
  <c r="J12" i="17" s="1"/>
  <c r="J7" i="12"/>
  <c r="M8" i="17" s="1"/>
  <c r="J8" i="17" s="1"/>
  <c r="J3" i="12"/>
  <c r="M4" i="17" s="1"/>
  <c r="J4" i="17" s="1"/>
  <c r="N103" i="11" l="1"/>
  <c r="N110" i="11" s="1"/>
  <c r="L24" i="17"/>
  <c r="L25" i="17" s="1"/>
  <c r="J95" i="13"/>
  <c r="H96" i="13" s="1"/>
  <c r="M21" i="17"/>
  <c r="J21" i="17" s="1"/>
  <c r="L22" i="17" s="1"/>
  <c r="M24" i="17"/>
  <c r="K22" i="17"/>
  <c r="K24" i="17"/>
  <c r="K25" i="17" s="1"/>
  <c r="N100" i="11"/>
  <c r="N91" i="11"/>
  <c r="N92" i="11" s="1"/>
  <c r="P106" i="11"/>
  <c r="P111" i="11" s="1"/>
  <c r="P100" i="11"/>
  <c r="P98" i="11"/>
  <c r="P101" i="11"/>
  <c r="P97" i="11"/>
  <c r="P91" i="11"/>
  <c r="P105" i="11"/>
  <c r="P103" i="11"/>
  <c r="L97" i="11"/>
  <c r="L109" i="11" s="1"/>
  <c r="L100" i="11"/>
  <c r="L104" i="11"/>
  <c r="L91" i="11"/>
  <c r="L92" i="11" s="1"/>
  <c r="H93" i="11" s="1"/>
  <c r="L101" i="11"/>
  <c r="L103" i="11"/>
  <c r="N98" i="11"/>
  <c r="N105" i="11"/>
  <c r="N101" i="11"/>
  <c r="N104" i="11"/>
  <c r="N106" i="11"/>
  <c r="N111" i="11" s="1"/>
  <c r="N97" i="11"/>
  <c r="N109" i="11" s="1"/>
  <c r="L105" i="11"/>
  <c r="L98" i="11"/>
  <c r="K15" i="10"/>
  <c r="I20" i="9"/>
  <c r="M20" i="9" s="1"/>
  <c r="K5" i="10"/>
  <c r="K6" i="10"/>
  <c r="K7" i="10"/>
  <c r="K8" i="10"/>
  <c r="K9" i="10"/>
  <c r="K10" i="10"/>
  <c r="K11" i="10"/>
  <c r="K12" i="10"/>
  <c r="K13" i="10"/>
  <c r="K14" i="10"/>
  <c r="K16" i="10"/>
  <c r="K17" i="10"/>
  <c r="K18" i="10"/>
  <c r="K19" i="10"/>
  <c r="K20" i="10"/>
  <c r="K21" i="10"/>
  <c r="K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4" i="10"/>
  <c r="G21" i="9"/>
  <c r="I21" i="9"/>
  <c r="I32" i="9"/>
  <c r="I33" i="9"/>
  <c r="I34" i="9"/>
  <c r="I31" i="9"/>
  <c r="I30" i="9"/>
  <c r="I29" i="9"/>
  <c r="I27" i="9"/>
  <c r="I28" i="9"/>
  <c r="I26" i="9"/>
  <c r="B25" i="9"/>
  <c r="I23" i="9"/>
  <c r="M25" i="17" l="1"/>
  <c r="L35" i="17"/>
  <c r="L39" i="17"/>
  <c r="L40" i="17"/>
  <c r="L38" i="17"/>
  <c r="L45" i="17" s="1"/>
  <c r="L33" i="17"/>
  <c r="L32" i="17"/>
  <c r="L36" i="17"/>
  <c r="K40" i="17"/>
  <c r="K38" i="17"/>
  <c r="K36" i="17"/>
  <c r="K35" i="17"/>
  <c r="K33" i="17"/>
  <c r="K29" i="17"/>
  <c r="K32" i="17"/>
  <c r="K39" i="17"/>
  <c r="J25" i="17"/>
  <c r="L26" i="17"/>
  <c r="L27" i="17" s="1"/>
  <c r="P92" i="11"/>
  <c r="K26" i="17"/>
  <c r="L96" i="13"/>
  <c r="L108" i="13" s="1"/>
  <c r="N96" i="13"/>
  <c r="N108" i="13" s="1"/>
  <c r="P96" i="13"/>
  <c r="P110" i="11"/>
  <c r="P109" i="11"/>
  <c r="J109" i="11" s="1"/>
  <c r="M22" i="17"/>
  <c r="M21" i="9"/>
  <c r="J33" i="9"/>
  <c r="M33" i="9"/>
  <c r="J30" i="9"/>
  <c r="M30" i="9"/>
  <c r="J32" i="9"/>
  <c r="M32" i="9"/>
  <c r="J23" i="9"/>
  <c r="M23" i="9"/>
  <c r="J28" i="9"/>
  <c r="M28" i="9"/>
  <c r="J31" i="9"/>
  <c r="M31" i="9"/>
  <c r="J21" i="9"/>
  <c r="J29" i="9"/>
  <c r="M29" i="9"/>
  <c r="J24" i="9"/>
  <c r="M24" i="9"/>
  <c r="J27" i="9"/>
  <c r="M27" i="9"/>
  <c r="N102" i="11"/>
  <c r="F16" i="15"/>
  <c r="J21" i="18"/>
  <c r="F18" i="15"/>
  <c r="J111" i="11"/>
  <c r="P102" i="11"/>
  <c r="P107" i="11"/>
  <c r="L107" i="11"/>
  <c r="L102" i="11"/>
  <c r="L110" i="11"/>
  <c r="N107" i="11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3" i="9"/>
  <c r="M40" i="17" l="1"/>
  <c r="J40" i="17" s="1"/>
  <c r="M26" i="17"/>
  <c r="J26" i="17" s="1"/>
  <c r="M38" i="17"/>
  <c r="J38" i="17" s="1"/>
  <c r="M35" i="17"/>
  <c r="J92" i="11"/>
  <c r="M36" i="17"/>
  <c r="M33" i="17"/>
  <c r="J33" i="17" s="1"/>
  <c r="M39" i="17"/>
  <c r="J39" i="17" s="1"/>
  <c r="M32" i="17"/>
  <c r="M29" i="17"/>
  <c r="J29" i="17" s="1"/>
  <c r="L22" i="18"/>
  <c r="I18" i="15" s="1"/>
  <c r="K22" i="18"/>
  <c r="L99" i="13"/>
  <c r="F21" i="15"/>
  <c r="K45" i="17"/>
  <c r="J110" i="11"/>
  <c r="K27" i="17"/>
  <c r="J102" i="11"/>
  <c r="M22" i="18"/>
  <c r="N99" i="13"/>
  <c r="N112" i="13"/>
  <c r="P99" i="13"/>
  <c r="P108" i="13"/>
  <c r="P112" i="13" s="1"/>
  <c r="L112" i="13"/>
  <c r="K37" i="17"/>
  <c r="L37" i="17"/>
  <c r="J107" i="11"/>
  <c r="M27" i="17" l="1"/>
  <c r="J27" i="17" s="1"/>
  <c r="P95" i="11"/>
  <c r="H28" i="17"/>
  <c r="H25" i="12" s="1"/>
  <c r="M37" i="17"/>
  <c r="J37" i="17" s="1"/>
  <c r="C25" i="12"/>
  <c r="L93" i="11"/>
  <c r="L95" i="11" s="1"/>
  <c r="N95" i="11"/>
  <c r="J36" i="17"/>
  <c r="L26" i="18"/>
  <c r="K39" i="18"/>
  <c r="K32" i="18"/>
  <c r="K44" i="18" s="1"/>
  <c r="K40" i="18"/>
  <c r="K33" i="18"/>
  <c r="K38" i="18"/>
  <c r="K36" i="18"/>
  <c r="K35" i="18"/>
  <c r="L39" i="18"/>
  <c r="L32" i="18"/>
  <c r="L44" i="18" s="1"/>
  <c r="L40" i="18"/>
  <c r="L33" i="18"/>
  <c r="L38" i="18"/>
  <c r="L45" i="18" s="1"/>
  <c r="L36" i="18"/>
  <c r="L35" i="18"/>
  <c r="H52" i="14" s="1"/>
  <c r="H55" i="14" s="1"/>
  <c r="K26" i="18"/>
  <c r="I16" i="15"/>
  <c r="L114" i="13"/>
  <c r="L117" i="13" s="1"/>
  <c r="M45" i="17"/>
  <c r="J45" i="17" s="1"/>
  <c r="J35" i="17"/>
  <c r="N114" i="13"/>
  <c r="N117" i="13" s="1"/>
  <c r="P115" i="13"/>
  <c r="I21" i="15"/>
  <c r="L48" i="13"/>
  <c r="J108" i="13"/>
  <c r="J99" i="13"/>
  <c r="J112" i="13"/>
  <c r="I4" i="9"/>
  <c r="I5" i="9"/>
  <c r="I6" i="9"/>
  <c r="I7" i="9"/>
  <c r="I8" i="9"/>
  <c r="I9" i="9"/>
  <c r="I10" i="9"/>
  <c r="I11" i="9"/>
  <c r="M11" i="9" s="1"/>
  <c r="I12" i="9"/>
  <c r="I13" i="9"/>
  <c r="I14" i="9"/>
  <c r="I15" i="9"/>
  <c r="I16" i="9"/>
  <c r="I17" i="9"/>
  <c r="I18" i="9"/>
  <c r="I19" i="9"/>
  <c r="J20" i="9"/>
  <c r="M21" i="10" s="1"/>
  <c r="J21" i="10" s="1"/>
  <c r="I3" i="9"/>
  <c r="I5" i="10"/>
  <c r="I6" i="10"/>
  <c r="I7" i="10"/>
  <c r="I8" i="10"/>
  <c r="I9" i="10"/>
  <c r="I10" i="10"/>
  <c r="L5" i="19" s="1" a="1"/>
  <c r="L5" i="19" s="1"/>
  <c r="M5" i="19" s="1" a="1"/>
  <c r="M5" i="19" s="1"/>
  <c r="I11" i="10"/>
  <c r="L6" i="19" s="1" a="1"/>
  <c r="L6" i="19" s="1"/>
  <c r="M6" i="19" s="1" a="1"/>
  <c r="M6" i="19" s="1"/>
  <c r="I12" i="10"/>
  <c r="I13" i="10"/>
  <c r="I14" i="10"/>
  <c r="I15" i="10"/>
  <c r="I16" i="10"/>
  <c r="I17" i="10"/>
  <c r="I18" i="10"/>
  <c r="I19" i="10"/>
  <c r="I20" i="10"/>
  <c r="I21" i="10"/>
  <c r="I4" i="10"/>
  <c r="M35" i="18" l="1"/>
  <c r="N5" i="19" a="1"/>
  <c r="N5" i="19" s="1"/>
  <c r="J93" i="11"/>
  <c r="J95" i="11" s="1"/>
  <c r="H96" i="11" s="1"/>
  <c r="L37" i="18"/>
  <c r="J35" i="18"/>
  <c r="M36" i="18"/>
  <c r="J36" i="18" s="1"/>
  <c r="M38" i="18"/>
  <c r="J38" i="18" s="1"/>
  <c r="M26" i="18"/>
  <c r="J26" i="18" s="1"/>
  <c r="M33" i="18"/>
  <c r="J33" i="18" s="1"/>
  <c r="K45" i="18"/>
  <c r="M40" i="18"/>
  <c r="J40" i="18" s="1"/>
  <c r="M32" i="18"/>
  <c r="M44" i="18" s="1"/>
  <c r="J44" i="18" s="1"/>
  <c r="M39" i="18"/>
  <c r="J39" i="18" s="1"/>
  <c r="K37" i="18"/>
  <c r="N6" i="19" s="1" a="1"/>
  <c r="N6" i="19" s="1"/>
  <c r="J114" i="13"/>
  <c r="L47" i="13" s="1"/>
  <c r="L51" i="13" s="1"/>
  <c r="J117" i="13"/>
  <c r="J18" i="9"/>
  <c r="M19" i="10" s="1"/>
  <c r="J19" i="10" s="1"/>
  <c r="M18" i="9"/>
  <c r="J10" i="9"/>
  <c r="M11" i="10" s="1"/>
  <c r="J11" i="10" s="1"/>
  <c r="M10" i="9"/>
  <c r="J17" i="9"/>
  <c r="M18" i="10" s="1"/>
  <c r="J18" i="10" s="1"/>
  <c r="M17" i="9"/>
  <c r="J13" i="9"/>
  <c r="M14" i="10" s="1"/>
  <c r="J14" i="10" s="1"/>
  <c r="M13" i="9"/>
  <c r="J9" i="9"/>
  <c r="M10" i="10" s="1"/>
  <c r="J10" i="10" s="1"/>
  <c r="M9" i="9"/>
  <c r="J5" i="9"/>
  <c r="M6" i="10" s="1"/>
  <c r="J6" i="10" s="1"/>
  <c r="M5" i="9"/>
  <c r="J16" i="9"/>
  <c r="M17" i="10" s="1"/>
  <c r="J17" i="10" s="1"/>
  <c r="M16" i="9"/>
  <c r="J12" i="9"/>
  <c r="M13" i="10" s="1"/>
  <c r="J13" i="10" s="1"/>
  <c r="M12" i="9"/>
  <c r="J8" i="9"/>
  <c r="M9" i="10" s="1"/>
  <c r="J9" i="10" s="1"/>
  <c r="M8" i="9"/>
  <c r="J4" i="9"/>
  <c r="M5" i="10" s="1"/>
  <c r="J5" i="10" s="1"/>
  <c r="M4" i="9"/>
  <c r="J14" i="9"/>
  <c r="M15" i="10" s="1"/>
  <c r="J15" i="10" s="1"/>
  <c r="M14" i="9"/>
  <c r="J6" i="9"/>
  <c r="M7" i="10" s="1"/>
  <c r="J7" i="10" s="1"/>
  <c r="M6" i="9"/>
  <c r="J19" i="9"/>
  <c r="M20" i="10" s="1"/>
  <c r="J20" i="10" s="1"/>
  <c r="M19" i="9"/>
  <c r="J15" i="9"/>
  <c r="M16" i="10" s="1"/>
  <c r="J16" i="10" s="1"/>
  <c r="M15" i="9"/>
  <c r="J11" i="9"/>
  <c r="M12" i="10" s="1"/>
  <c r="J12" i="10" s="1"/>
  <c r="J7" i="9"/>
  <c r="M8" i="10" s="1"/>
  <c r="J8" i="10" s="1"/>
  <c r="M7" i="9"/>
  <c r="J3" i="9"/>
  <c r="M4" i="10" s="1"/>
  <c r="J4" i="10" s="1"/>
  <c r="M3" i="9"/>
  <c r="M30" i="18"/>
  <c r="L49" i="13"/>
  <c r="C42" i="9"/>
  <c r="E52" i="9"/>
  <c r="E53" i="9" s="1"/>
  <c r="E51" i="9"/>
  <c r="E50" i="9"/>
  <c r="I25" i="12" l="1"/>
  <c r="J32" i="18"/>
  <c r="M37" i="18"/>
  <c r="J37" i="18" s="1"/>
  <c r="M45" i="18"/>
  <c r="J45" i="18" s="1"/>
  <c r="M24" i="10"/>
  <c r="J30" i="18"/>
  <c r="N96" i="11"/>
  <c r="N99" i="11" s="1"/>
  <c r="L22" i="10"/>
  <c r="M22" i="10"/>
  <c r="K22" i="10"/>
  <c r="L96" i="11"/>
  <c r="L99" i="11" s="1"/>
  <c r="P96" i="11"/>
  <c r="K24" i="10"/>
  <c r="K25" i="10" s="1"/>
  <c r="L24" i="10"/>
  <c r="L25" i="10" s="1"/>
  <c r="I51" i="9"/>
  <c r="C30" i="15" s="1"/>
  <c r="M25" i="10" l="1"/>
  <c r="J25" i="10" s="1"/>
  <c r="L36" i="10"/>
  <c r="L39" i="10"/>
  <c r="L32" i="10"/>
  <c r="L44" i="10" s="1"/>
  <c r="L40" i="10"/>
  <c r="L38" i="10"/>
  <c r="L45" i="10" s="1"/>
  <c r="L29" i="10"/>
  <c r="L35" i="10"/>
  <c r="L33" i="10"/>
  <c r="K35" i="10"/>
  <c r="K39" i="10"/>
  <c r="K32" i="10"/>
  <c r="K33" i="10"/>
  <c r="K40" i="10"/>
  <c r="K29" i="10"/>
  <c r="K38" i="10"/>
  <c r="K45" i="10" s="1"/>
  <c r="K36" i="10"/>
  <c r="L26" i="10"/>
  <c r="C18" i="15"/>
  <c r="K26" i="10"/>
  <c r="L44" i="17"/>
  <c r="C23" i="15"/>
  <c r="N108" i="11"/>
  <c r="N112" i="11" s="1"/>
  <c r="N114" i="11" s="1"/>
  <c r="N117" i="11" s="1"/>
  <c r="C20" i="15"/>
  <c r="L108" i="11"/>
  <c r="L112" i="11" s="1"/>
  <c r="L114" i="11" s="1"/>
  <c r="P99" i="11"/>
  <c r="P108" i="11"/>
  <c r="P112" i="11" s="1"/>
  <c r="M39" i="10" l="1"/>
  <c r="M36" i="10"/>
  <c r="M32" i="10"/>
  <c r="M33" i="10"/>
  <c r="M35" i="10"/>
  <c r="K44" i="10"/>
  <c r="M38" i="10"/>
  <c r="K27" i="10"/>
  <c r="M26" i="10"/>
  <c r="M29" i="10"/>
  <c r="J29" i="10" s="1"/>
  <c r="M40" i="10"/>
  <c r="J32" i="17"/>
  <c r="K44" i="17"/>
  <c r="L117" i="11"/>
  <c r="J117" i="11" s="1"/>
  <c r="J114" i="11"/>
  <c r="P115" i="11"/>
  <c r="J112" i="11"/>
  <c r="L37" i="10"/>
  <c r="K37" i="10"/>
  <c r="J108" i="11"/>
  <c r="L48" i="11"/>
  <c r="J99" i="11"/>
  <c r="J75" i="8"/>
  <c r="J78" i="8" l="1"/>
  <c r="J71" i="8" l="1"/>
  <c r="J82" i="8" l="1"/>
  <c r="J81" i="8"/>
  <c r="J80" i="8"/>
  <c r="J79" i="8"/>
  <c r="J76" i="8"/>
  <c r="J73" i="8"/>
  <c r="J72" i="8"/>
  <c r="J70" i="8"/>
  <c r="J69" i="8"/>
  <c r="J68" i="8"/>
  <c r="J67" i="8"/>
  <c r="J66" i="8"/>
  <c r="J65" i="8"/>
  <c r="L85" i="8" l="1"/>
  <c r="P85" i="8"/>
  <c r="L83" i="8"/>
  <c r="N83" i="8"/>
  <c r="N92" i="8" s="1"/>
  <c r="P83" i="8"/>
  <c r="N85" i="8"/>
  <c r="P86" i="8"/>
  <c r="L86" i="8"/>
  <c r="N86" i="8"/>
  <c r="P87" i="8" l="1"/>
  <c r="P88" i="8" s="1"/>
  <c r="P92" i="8"/>
  <c r="N87" i="8"/>
  <c r="N88" i="8" s="1"/>
  <c r="N100" i="8"/>
  <c r="L87" i="8"/>
  <c r="L88" i="8" s="1"/>
  <c r="H89" i="8" s="1"/>
  <c r="L89" i="8" s="1"/>
  <c r="J89" i="8" s="1"/>
  <c r="L100" i="8"/>
  <c r="P100" i="8" l="1"/>
  <c r="P97" i="8"/>
  <c r="P101" i="8"/>
  <c r="P93" i="8"/>
  <c r="P94" i="8"/>
  <c r="P102" i="8"/>
  <c r="P107" i="8" s="1"/>
  <c r="P96" i="8"/>
  <c r="P99" i="8"/>
  <c r="M45" i="10" s="1"/>
  <c r="J36" i="10" l="1"/>
  <c r="P105" i="8"/>
  <c r="M44" i="10"/>
  <c r="J44" i="10" s="1"/>
  <c r="J35" i="10"/>
  <c r="M37" i="10"/>
  <c r="J37" i="10" s="1"/>
  <c r="J32" i="10"/>
  <c r="P106" i="8"/>
  <c r="P103" i="8"/>
  <c r="P98" i="8"/>
  <c r="J33" i="10" s="1"/>
  <c r="J40" i="10" l="1"/>
  <c r="J38" i="10"/>
  <c r="J45" i="10"/>
  <c r="L101" i="8"/>
  <c r="L96" i="8"/>
  <c r="L102" i="8"/>
  <c r="L107" i="8" l="1"/>
  <c r="L97" i="8"/>
  <c r="L93" i="8"/>
  <c r="L105" i="8" s="1"/>
  <c r="L94" i="8"/>
  <c r="L99" i="8"/>
  <c r="L98" i="8" l="1"/>
  <c r="L106" i="8"/>
  <c r="L103" i="8"/>
  <c r="J88" i="8" l="1"/>
  <c r="C25" i="9" l="1"/>
  <c r="H28" i="10"/>
  <c r="H25" i="9" s="1"/>
  <c r="N102" i="8"/>
  <c r="N101" i="8"/>
  <c r="N99" i="8"/>
  <c r="N97" i="8"/>
  <c r="N93" i="8"/>
  <c r="N105" i="8" s="1"/>
  <c r="N96" i="8"/>
  <c r="N94" i="8"/>
  <c r="K28" i="10" l="1"/>
  <c r="L30" i="17"/>
  <c r="K28" i="17"/>
  <c r="P91" i="8"/>
  <c r="J26" i="10" s="1"/>
  <c r="N91" i="8"/>
  <c r="N107" i="8"/>
  <c r="J107" i="8" s="1"/>
  <c r="J105" i="8"/>
  <c r="N106" i="8"/>
  <c r="J106" i="8" s="1"/>
  <c r="N103" i="8"/>
  <c r="J103" i="8" s="1"/>
  <c r="N98" i="8"/>
  <c r="J98" i="8" s="1"/>
  <c r="K30" i="10" l="1"/>
  <c r="K30" i="17"/>
  <c r="I25" i="9"/>
  <c r="J25" i="9" s="1"/>
  <c r="M28" i="10" s="1"/>
  <c r="J28" i="10" s="1"/>
  <c r="L91" i="8"/>
  <c r="J26" i="12" l="1"/>
  <c r="M44" i="17" s="1"/>
  <c r="J44" i="17" s="1"/>
  <c r="K31" i="17"/>
  <c r="K43" i="17" s="1"/>
  <c r="L31" i="17"/>
  <c r="M26" i="12"/>
  <c r="J91" i="8"/>
  <c r="H92" i="8" s="1"/>
  <c r="E26" i="9" s="1"/>
  <c r="M31" i="17" l="1"/>
  <c r="K34" i="17"/>
  <c r="L34" i="17"/>
  <c r="L43" i="17"/>
  <c r="N104" i="8"/>
  <c r="N108" i="8" s="1"/>
  <c r="L92" i="8"/>
  <c r="L104" i="8" s="1"/>
  <c r="L108" i="8" s="1"/>
  <c r="P104" i="8"/>
  <c r="J31" i="17" l="1"/>
  <c r="M34" i="17"/>
  <c r="J34" i="17" s="1"/>
  <c r="P108" i="8"/>
  <c r="J108" i="8" s="1"/>
  <c r="J39" i="10"/>
  <c r="L95" i="8"/>
  <c r="L110" i="8" s="1"/>
  <c r="N95" i="8"/>
  <c r="N110" i="8" s="1"/>
  <c r="N113" i="8" s="1"/>
  <c r="J104" i="8"/>
  <c r="P95" i="8"/>
  <c r="J110" i="8" l="1"/>
  <c r="L47" i="8" s="1"/>
  <c r="L113" i="8"/>
  <c r="J113" i="8" s="1"/>
  <c r="L48" i="8" s="1"/>
  <c r="L47" i="11"/>
  <c r="L51" i="11" s="1"/>
  <c r="P111" i="8"/>
  <c r="L49" i="8" s="1"/>
  <c r="L49" i="11"/>
  <c r="J95" i="8"/>
  <c r="L53" i="8" l="1"/>
  <c r="M27" i="10" l="1"/>
  <c r="L27" i="10" l="1"/>
  <c r="M30" i="10" l="1"/>
  <c r="J27" i="10"/>
  <c r="L30" i="10" l="1"/>
  <c r="J30" i="10" l="1"/>
  <c r="H26" i="9" l="1"/>
  <c r="M25" i="9"/>
  <c r="L31" i="10" l="1"/>
  <c r="L43" i="10" s="1"/>
  <c r="K31" i="10"/>
  <c r="K34" i="10" s="1"/>
  <c r="M26" i="9"/>
  <c r="J26" i="9"/>
  <c r="M31" i="10" l="1"/>
  <c r="M43" i="10" s="1"/>
  <c r="K43" i="10"/>
  <c r="L34" i="10"/>
  <c r="J31" i="10" l="1"/>
  <c r="H31" i="10" s="1"/>
  <c r="J43" i="10"/>
  <c r="M34" i="10"/>
  <c r="J34" i="10" s="1"/>
  <c r="C41" i="9" l="1"/>
  <c r="E54" i="9" s="1"/>
  <c r="E56" i="9" l="1"/>
  <c r="C46" i="9" s="1"/>
  <c r="E55" i="9"/>
  <c r="C45" i="9" s="1"/>
  <c r="E57" i="9"/>
  <c r="C47" i="9" s="1"/>
  <c r="C44" i="9"/>
  <c r="C48" i="9" l="1"/>
  <c r="E34" i="9" s="1"/>
  <c r="H34" i="9" l="1"/>
  <c r="K41" i="10" l="1"/>
  <c r="L41" i="10"/>
  <c r="L46" i="10" s="1"/>
  <c r="M34" i="9"/>
  <c r="J34" i="9"/>
  <c r="M41" i="10" l="1"/>
  <c r="M46" i="10" s="1"/>
  <c r="M47" i="10" s="1"/>
  <c r="L42" i="10"/>
  <c r="K46" i="10"/>
  <c r="K47" i="10" s="1"/>
  <c r="L47" i="10"/>
  <c r="K42" i="10"/>
  <c r="L49" i="10" l="1"/>
  <c r="M42" i="10"/>
  <c r="M49" i="10" s="1"/>
  <c r="C22" i="15" s="1"/>
  <c r="J41" i="10"/>
  <c r="J46" i="10"/>
  <c r="J47" i="10"/>
  <c r="K49" i="10"/>
  <c r="J49" i="10" l="1"/>
  <c r="L52" i="10"/>
  <c r="C27" i="15" s="1"/>
  <c r="C19" i="15"/>
  <c r="J42" i="10"/>
  <c r="C17" i="15"/>
  <c r="K52" i="10"/>
  <c r="L7" i="19" l="1" a="1"/>
  <c r="L7" i="19" s="1"/>
  <c r="C29" i="15" s="1" a="1"/>
  <c r="C29" i="15" s="1"/>
  <c r="L10" i="19"/>
  <c r="L9" i="19"/>
  <c r="L8" i="19"/>
  <c r="C16" i="15"/>
  <c r="C26" i="15"/>
  <c r="J52" i="10"/>
  <c r="C25" i="15" l="1"/>
  <c r="C32" i="15"/>
  <c r="H59" i="14"/>
  <c r="K27" i="18" l="1"/>
  <c r="L27" i="18"/>
  <c r="M27" i="18" l="1"/>
  <c r="J27" i="18" l="1"/>
  <c r="H25" i="14" l="1"/>
  <c r="L31" i="18" l="1"/>
  <c r="K31" i="18"/>
  <c r="J25" i="14"/>
  <c r="M25" i="14"/>
  <c r="K34" i="18" l="1"/>
  <c r="K43" i="18"/>
  <c r="M31" i="18"/>
  <c r="J31" i="18" s="1"/>
  <c r="H31" i="18" s="1"/>
  <c r="L34" i="18"/>
  <c r="L43" i="18"/>
  <c r="M34" i="18" l="1"/>
  <c r="J34" i="18" s="1"/>
  <c r="M43" i="18"/>
  <c r="J43" i="18" s="1"/>
  <c r="C41" i="14" l="1"/>
  <c r="E54" i="14" l="1"/>
  <c r="E56" i="14"/>
  <c r="C46" i="14" s="1"/>
  <c r="C44" i="14"/>
  <c r="E55" i="14"/>
  <c r="C45" i="14" s="1"/>
  <c r="C48" i="14" l="1"/>
  <c r="H33" i="14" s="1"/>
  <c r="K41" i="18" l="1"/>
  <c r="L41" i="18"/>
  <c r="M33" i="14"/>
  <c r="J33" i="14"/>
  <c r="L46" i="18" l="1"/>
  <c r="L47" i="18" s="1"/>
  <c r="L42" i="18"/>
  <c r="K46" i="18"/>
  <c r="M41" i="18"/>
  <c r="J41" i="18" s="1"/>
  <c r="K42" i="18"/>
  <c r="L49" i="18" l="1"/>
  <c r="L52" i="18" s="1"/>
  <c r="M46" i="18"/>
  <c r="J46" i="18" s="1"/>
  <c r="M42" i="18"/>
  <c r="K47" i="18"/>
  <c r="J42" i="18" l="1"/>
  <c r="I17" i="15"/>
  <c r="N8" i="19"/>
  <c r="I25" i="15"/>
  <c r="N9" i="19"/>
  <c r="N7" i="19" a="1"/>
  <c r="N7" i="19" s="1"/>
  <c r="I27" i="15" s="1" a="1"/>
  <c r="I27" i="15" s="1"/>
  <c r="I29" i="15" s="1"/>
  <c r="N10" i="19"/>
  <c r="M47" i="18"/>
  <c r="J47" i="18" s="1"/>
  <c r="K49" i="18"/>
  <c r="M49" i="18" l="1"/>
  <c r="I20" i="15" s="1"/>
  <c r="J49" i="18"/>
  <c r="I15" i="15"/>
  <c r="K52" i="18"/>
  <c r="I14" i="15" l="1"/>
  <c r="I24" i="15"/>
  <c r="J52" i="18"/>
  <c r="I23" i="15" l="1"/>
  <c r="I28" i="15"/>
  <c r="F27" i="15" a="1"/>
  <c r="F27" i="15" s="1"/>
  <c r="J25" i="12"/>
  <c r="M28" i="17" s="1"/>
  <c r="M25" i="12"/>
  <c r="J28" i="17" l="1"/>
  <c r="J30" i="17" s="1"/>
  <c r="M30" i="17"/>
  <c r="M43" i="17" l="1"/>
  <c r="H31" i="17"/>
  <c r="J43" i="17" l="1"/>
  <c r="C41" i="12" s="1"/>
  <c r="C44" i="12" l="1"/>
  <c r="E53" i="12"/>
  <c r="E54" i="12"/>
  <c r="E55" i="12"/>
  <c r="C45" i="12" s="1"/>
  <c r="E56" i="12"/>
  <c r="C46" i="12" s="1"/>
  <c r="E57" i="12"/>
  <c r="C47" i="12" s="1"/>
  <c r="C48" i="12" l="1"/>
  <c r="H34" i="12" l="1"/>
  <c r="J34" i="12" s="1"/>
  <c r="L41" i="17" l="1"/>
  <c r="K41" i="17"/>
  <c r="M34" i="12"/>
  <c r="L46" i="17"/>
  <c r="L47" i="17" s="1"/>
  <c r="L42" i="17"/>
  <c r="K46" i="17"/>
  <c r="K42" i="17"/>
  <c r="M41" i="17"/>
  <c r="M46" i="17" l="1"/>
  <c r="M47" i="17" s="1"/>
  <c r="M42" i="17"/>
  <c r="J42" i="17" s="1"/>
  <c r="L49" i="17"/>
  <c r="J41" i="17"/>
  <c r="K47" i="17"/>
  <c r="J47" i="17" l="1"/>
  <c r="J46" i="17"/>
  <c r="M49" i="17"/>
  <c r="F20" i="15" s="1"/>
  <c r="K49" i="17"/>
  <c r="F17" i="15"/>
  <c r="L52" i="17"/>
  <c r="F25" i="15" l="1"/>
  <c r="M10" i="19"/>
  <c r="M7" i="19" a="1"/>
  <c r="M7" i="19" s="1"/>
  <c r="M9" i="19"/>
  <c r="M8" i="19"/>
  <c r="J49" i="17"/>
  <c r="K52" i="17"/>
  <c r="F15" i="15"/>
  <c r="J52" i="17" l="1"/>
  <c r="F24" i="15"/>
  <c r="K2" i="19"/>
  <c r="F14" i="15"/>
  <c r="F23" i="15" l="1"/>
  <c r="F30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Green-Andersen</author>
  </authors>
  <commentList>
    <comment ref="B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Er adressen: Frydelundsvej 55, Paradisæblevej 1-9, Bækkerumsgade 5A-B
Skal vejnavn udfyldes: Frydenlundvej / Paradisæblevej / Bækkerumsgade
Nummer skal udfyldes: 55 / 1-9 / 5
Bogstav skal udfyldes: - / - / A-B
Var der ikke A-B i Bækkerumsgade således adressen var som ovenstående men med Bækkerumsgade 5
Bogstav skal da udfyldes med - / - / -</t>
        </r>
      </text>
    </comment>
    <comment ref="B1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Til ejer og ikke kontakt person - eksempelvis c/o Advokat Test McTest, Paradisæblevej 13, 9999 Andeby</t>
        </r>
      </text>
    </comment>
    <comment ref="M14" authorId="0" shapeId="0" xr:uid="{8A89D0FA-EB8A-4DCD-86DC-FD9110B76A50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Gælder udelukkende skattepligtige andelsboligforeninger 
Angive antal af bolig m2 der er udlejet </t>
        </r>
      </text>
    </comment>
    <comment ref="I65" authorId="0" shapeId="0" xr:uid="{1E5F77B9-6B3A-443B-8A69-395C85C96BC3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66" authorId="0" shapeId="0" xr:uid="{6B95AD64-56F8-4D05-B28B-D52411C9BEFC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67" authorId="0" shapeId="0" xr:uid="{A1E5EB2D-3CFD-4128-B35C-31BA4610534B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68" authorId="0" shapeId="0" xr:uid="{E19E7EAF-2372-466E-A0DD-20DBD4F37737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69" authorId="0" shapeId="0" xr:uid="{5D2076D0-DFF2-460D-A191-7D8EF799FDCC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0" authorId="0" shapeId="0" xr:uid="{D1F1C1AE-AE36-4C8C-8396-21F9751E1515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1" authorId="0" shapeId="0" xr:uid="{7D1029CB-6F98-4EBF-9BDD-77C4FC0242D3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2" authorId="0" shapeId="0" xr:uid="{1C67C2D6-3200-4A47-AF4D-81EF1F89628A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3" authorId="0" shapeId="0" xr:uid="{10E768E0-B746-47FF-833E-1197B73EE64C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4" authorId="0" shapeId="0" xr:uid="{F2FD7A18-0CD8-4CDA-AFEA-F9539DB74E60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5" authorId="0" shapeId="0" xr:uid="{69E6BF81-7260-464F-8FDF-8D774C7716FE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6" authorId="0" shapeId="0" xr:uid="{028D53FE-0E35-44CD-AE0E-73317543BB9D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7" authorId="0" shapeId="0" xr:uid="{D8B065A2-8DC4-474E-964C-17F81068C976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8" authorId="0" shapeId="0" xr:uid="{5B979D2D-06CC-4DCA-B42F-2CFFF3783462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9" authorId="0" shapeId="0" xr:uid="{D3C73C2B-F150-4058-80C6-CD9F12F94500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0" authorId="0" shapeId="0" xr:uid="{DED64D81-2597-4958-ACF5-ED7F6DEA497A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1" authorId="0" shapeId="0" xr:uid="{9A725DBD-0AFB-4EBA-B3C5-CFBD063EF46C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2" authorId="0" shapeId="0" xr:uid="{1BF0DB4D-7AD5-46C3-9730-614B117EC16D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H92" authorId="0" shapeId="0" xr:uid="{17431CF8-4587-4770-8394-FEE2635D96C4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Teknikerhonora til fordeling må ikke være større end 15% af Punkt A + Punkt B. Er teknikerhonoraet større end 15% vil der maksimalt fordelses 15% jf. fordelingsnøglen under punkt 18 og det overskydende vil overgå til egenfinansiering </t>
        </r>
      </text>
    </comment>
    <comment ref="P114" authorId="0" shapeId="0" xr:uid="{E45AB572-B72E-4BF9-A609-24F50A1609D4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Byggeomkostningsindeks for boliger. 
jf. Danmarks Statistik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Green-Andersen</author>
  </authors>
  <commentList>
    <comment ref="G45" authorId="0" shapeId="0" xr:uid="{09EE8D80-68B1-48B2-987B-B0995EB3B53A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AM - Amagerbros Kvarter, København
BR - Brønshøj, København
CH - Christianshavns Kvarter, København 
DA - Damhussøen, København
EK - Eksercerpladsen, København
EM - Emdrup, København
FH - Frihavnskvarter, København
FM - Frimands Kvarter, København
HU - Husum, København
KL - Klædebo Kvarter, København
KE - Kongens Enghave, København
KØ - Købmager Kvarter, København
NØ - Nørre Kvarter, København
NV - Nørrevold Kvarter, København
RO - Rosenborg Kvarter, København
AV - Sankt Annæ Vester Kvarter, København
AØ - Sankt Annæ Øster Kvarter, København
SN - Snarens Kvarter, København
ST - Strand Kvarter, København
SO - Sundby Overdrev, København
SV - Sundbyvester, København
SØ - Sundbyøster, København
UK - Udenbys Klædebo Kvarter, København
UV - Udenbys Vester Kvarter, København
UT - Utterslev, København
VB - Valby, København
VL - Vanløse, København
VE - Vester Kvarter, København
VV - Vestervold Kvarter, København
VI - Vigerslev, København
ØS - Øster Kvarter, København
ØV - ØStervold Kvarter, København</t>
        </r>
      </text>
    </comment>
    <comment ref="G46" authorId="0" shapeId="0" xr:uid="{78E16615-DF75-40B9-BC4C-BC1A3B58C410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AM - Amagerbros Kvarter, København
BR - Brønshøj, København
CH - Christianshavns Kvarter, København 
DA - Damhussøen, København
EK - Eksercerpladsen, København
EM - Emdrup, København
FH - Frihavnskvarter, København
FM - Frimands Kvarter, København
HU - Husum, København
KL - Klædebo Kvarter, København
KE - Kongens Enghave, København
KØ - Købmager Kvarter, København
NØ - Nørre Kvarter, København
NV - Nørrevold Kvarter, København
RO - Rosenborg Kvarter, København
AV - Sankt Annæ Vester Kvarter, København
AØ - Sankt Annæ Øster Kvarter, København
SN - Snarens Kvarter, København
ST - Strand Kvarter, København
SO - Sundby Overdrev, København
SV - Sundbyvester, København
SØ - Sundbyøster, København
UK - Udenbys Klædebo Kvarter, København
UV - Udenbys Vester Kvarter, København
UT - Utterslev, København
VB - Valby, København
VL - Vanløse, København
VE - Vester Kvarter, København
VV - Vestervold Kvarter, København
VI - Vigerslev, København
ØS - Øster Kvarter, København
ØV - ØStervold Kvarter, København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Green-Andersen</author>
  </authors>
  <commentList>
    <comment ref="B12" authorId="0" shapeId="0" xr:uid="{DC74CB8E-739D-4801-B6BC-326104746DBB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Til ejer og ikke kontakt person - eksempelvis c/o Advokat Test McTest, Paradisæblevej 13, 9999 Andeby</t>
        </r>
      </text>
    </comment>
    <comment ref="M14" authorId="0" shapeId="0" xr:uid="{5C5933A1-65EF-4C88-96DF-7ABE7A8BA7BD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Gælder udelukkende skattepligtige andelsboligforeninger 
Angive antal af bolig m2 der er udlejet </t>
        </r>
      </text>
    </comment>
    <comment ref="I69" authorId="0" shapeId="0" xr:uid="{5CAE426E-B0FF-4369-B8F2-F0DA90CFA127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0" authorId="0" shapeId="0" xr:uid="{CC07F2B0-30EB-4188-BD2A-B4C89F37273D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1" authorId="0" shapeId="0" xr:uid="{79F1FA7F-30CA-47E0-A0E0-8626EEC64967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2" authorId="0" shapeId="0" xr:uid="{F6AA76C0-2877-4426-844C-CE4012DF3133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3" authorId="0" shapeId="0" xr:uid="{48278218-3A5B-4477-8C2A-0FE581167DF8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4" authorId="0" shapeId="0" xr:uid="{5CD06049-E60D-4D9D-B292-FDAA1F5E2F2A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5" authorId="0" shapeId="0" xr:uid="{9F7602A0-F619-4DA9-9D50-FC475149D0BB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6" authorId="0" shapeId="0" xr:uid="{6AFF697D-B206-4884-9FBE-D4DB92052833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7" authorId="0" shapeId="0" xr:uid="{F64F8D88-A0B5-4C34-992C-98AAF7CF3498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8" authorId="0" shapeId="0" xr:uid="{1F32F3CD-BF32-411E-8088-DC1E93D1AB5A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9" authorId="0" shapeId="0" xr:uid="{64320797-79FD-4462-BD14-2DA669B9BB46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0" authorId="0" shapeId="0" xr:uid="{5F8EB2F7-2A77-4B85-82B6-7984C2A12DBD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1" authorId="0" shapeId="0" xr:uid="{C37597D9-3827-462C-AD85-4497DCE7322A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2" authorId="0" shapeId="0" xr:uid="{7AC624DB-7237-4891-ADE1-6738EDCA968C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3" authorId="0" shapeId="0" xr:uid="{C2C72D5E-5A04-43A2-9C6C-4316F3972A8E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4" authorId="0" shapeId="0" xr:uid="{04FDF691-BCEE-49EB-9628-6374CA0F5F81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5" authorId="0" shapeId="0" xr:uid="{90032884-2BC6-4FAA-9A18-AC7E1E5ACD20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6" authorId="0" shapeId="0" xr:uid="{73FF14A7-993B-4E18-A095-31CF15072458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H96" authorId="0" shapeId="0" xr:uid="{375E7CEC-2924-4EFC-892A-95975F407C04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Teknikerhonora til fordeling må ikke være større end 15% af Punkt A + Punkt B. Er teknikerhonoraet større end 15% vil der maksimalt fordelses 15% jf. fordelingsnøglen under punkt 18 og det overskydende vil overgå til egenfinansiering </t>
        </r>
      </text>
    </comment>
    <comment ref="P118" authorId="0" shapeId="0" xr:uid="{9DC6BD60-2FF8-4B47-B0CE-7592CD5B30D8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Byggeomkostningsindeks for boliger. 
jf. Danmarks Statistik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Green-Andersen</author>
  </authors>
  <commentList>
    <comment ref="B12" authorId="0" shapeId="0" xr:uid="{3C0DD4B4-FDBA-4D10-93A4-370B790C4A3C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Til ejer og ikke kontakt person - eksempelvis c/o Advokat Test McTest, Paradisæblevej 13, 9999 Andeby</t>
        </r>
      </text>
    </comment>
    <comment ref="M14" authorId="0" shapeId="0" xr:uid="{E07EFDFC-C431-4B9E-A034-6C6EB6B030B2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Gælder udelukkende skattepligtige andelsboligforeninger 
Angive antal af bolig m2 der er udlejet </t>
        </r>
      </text>
    </comment>
    <comment ref="I69" authorId="0" shapeId="0" xr:uid="{2BA4FA89-AF58-4B76-A21A-DDD2B1A3928E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0" authorId="0" shapeId="0" xr:uid="{24BB8F38-BB52-41EC-9C93-9752F3700344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1" authorId="0" shapeId="0" xr:uid="{BAB2B2F6-2903-42E7-B51F-26B32218851F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2" authorId="0" shapeId="0" xr:uid="{3AB62C51-E53E-4785-905C-2C7B8907166B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3" authorId="0" shapeId="0" xr:uid="{2A8C37F8-03BE-416D-8BD2-9CA114308EC7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4" authorId="0" shapeId="0" xr:uid="{9C838BEB-76DD-42BF-B98F-B77E3A9FBA85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5" authorId="0" shapeId="0" xr:uid="{5DB06901-0A00-40D8-909D-03CC222CBFE1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6" authorId="0" shapeId="0" xr:uid="{E63C9A6D-AF81-42F3-9997-DA7D0F73C2A2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7" authorId="0" shapeId="0" xr:uid="{509C12F1-4CC2-492C-BF75-F820CB468A08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8" authorId="0" shapeId="0" xr:uid="{1486D046-12CB-42D1-A702-A566EDE7A360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79" authorId="0" shapeId="0" xr:uid="{CFBDF8B3-E80A-49CE-B999-2F41D47397F7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0" authorId="0" shapeId="0" xr:uid="{EDE288A4-A8E5-41CC-9031-DD4A7D05CB41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1" authorId="0" shapeId="0" xr:uid="{39B0D185-069F-4DE6-90C0-6DEFF3D91116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2" authorId="0" shapeId="0" xr:uid="{E6A218D0-892B-4AAC-9C42-7011B62876F9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3" authorId="0" shapeId="0" xr:uid="{CF161E13-F314-45A7-97DB-88A44AC30EF7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4" authorId="0" shapeId="0" xr:uid="{4A4421A6-6455-4DFB-BCAB-DC3EAB68B38A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5" authorId="0" shapeId="0" xr:uid="{F2D6BDFA-8C7B-49A0-9C9E-64F545F09712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I86" authorId="0" shapeId="0" xr:uid="{AD31B751-0CAD-4C66-9416-BFAC80A6C25D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Hvis feltet bliver grønt skal der indtastes omfang i angivet mængde</t>
        </r>
      </text>
    </comment>
    <comment ref="H96" authorId="0" shapeId="0" xr:uid="{BFB96326-0A3D-47D0-A9CD-02EAC90C9334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Teknikerhonora til fordeling må ikke være større end 15% af Punkt A + Punkt B. Er teknikerhonoraet større end 15% vil der maksimalt fordelses 15% jf. fordelingsnøglen under punkt 18 og det overskydende vil overgå til egenfinansiering </t>
        </r>
      </text>
    </comment>
    <comment ref="P118" authorId="0" shapeId="0" xr:uid="{4A09C04D-8E1C-48E8-B6A2-416F912C4CED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Byggeomkostningsindeks for boliger. 
jf. Danmarks Statistik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Green-Andersen</author>
  </authors>
  <commentList>
    <comment ref="B34" authorId="0" shapeId="0" xr:uid="{5483880F-7055-45DB-ABA3-AA485EAD8EB3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Forsinket byggeregnskab
Fradrag i støtte pga. skattefradrag
Fradrag pga. indestående på vedligeholdelseskonti
</t>
        </r>
      </text>
    </comment>
    <comment ref="H58" authorId="0" shapeId="0" xr:uid="{B2245EDD-11F3-4055-8390-00BAAE0D6E38}">
      <text>
        <r>
          <rPr>
            <b/>
            <sz val="9"/>
            <color indexed="81"/>
            <rFont val="Tahoma"/>
            <family val="2"/>
          </rPr>
          <t>Thomas Green-Andersen:</t>
        </r>
        <r>
          <rPr>
            <sz val="9"/>
            <color indexed="81"/>
            <rFont val="Tahoma"/>
            <family val="2"/>
          </rPr>
          <t xml:space="preserve">
En måned er sat til 30 dage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<sst xmlns="http://schemas.openxmlformats.org/spreadsheetml/2006/main" count="1468" uniqueCount="381">
  <si>
    <t>Data til tilsagn</t>
  </si>
  <si>
    <t>Data til licitationsgodkendelse</t>
  </si>
  <si>
    <t>Data til godkendelse af byggeregnskab</t>
  </si>
  <si>
    <t>Vejnavne</t>
  </si>
  <si>
    <t>Numre</t>
  </si>
  <si>
    <t>Bogstav</t>
  </si>
  <si>
    <t>Matr. nr. (kort)</t>
  </si>
  <si>
    <t>Politisk besluttet</t>
  </si>
  <si>
    <t>Licitations materiale modtaget</t>
  </si>
  <si>
    <t>Regnskab modtaget</t>
  </si>
  <si>
    <t>Støtte efter kapitel</t>
  </si>
  <si>
    <t>Licitation godkendt</t>
  </si>
  <si>
    <t>Regnskab godkendt</t>
  </si>
  <si>
    <t>Ref. Lov</t>
  </si>
  <si>
    <t>Ref. lov</t>
  </si>
  <si>
    <t>Projektleder</t>
  </si>
  <si>
    <t>eDoc-Projektnummer</t>
  </si>
  <si>
    <t>eDoc-Sagsnummer</t>
  </si>
  <si>
    <t>Save værdi</t>
  </si>
  <si>
    <t>Saveværdi</t>
  </si>
  <si>
    <t>Støtteberettigede udgifter før fradrag</t>
  </si>
  <si>
    <t>Demonstrationsprojekt</t>
  </si>
  <si>
    <t>Samlet</t>
  </si>
  <si>
    <t>Samlede ombygningsudgifter før fradrag</t>
  </si>
  <si>
    <t>Forbedring i kr.</t>
  </si>
  <si>
    <t>Forbedring i procent</t>
  </si>
  <si>
    <t>Vedligehold i kr.</t>
  </si>
  <si>
    <t>Vedligehold i procent</t>
  </si>
  <si>
    <t>Egne arbejder</t>
  </si>
  <si>
    <t>Egne arbejder i kr.</t>
  </si>
  <si>
    <t>Egne arbejder i procent</t>
  </si>
  <si>
    <t>Støtteberettigede udgifter efter fradrag</t>
  </si>
  <si>
    <t>Forventede udgifter og udbetalinger</t>
  </si>
  <si>
    <t>Udbetalinger og deklaration</t>
  </si>
  <si>
    <t>Støtte i kr.</t>
  </si>
  <si>
    <t>Genhusning</t>
  </si>
  <si>
    <t>BvB bidrag</t>
  </si>
  <si>
    <t>Udgift til genhusning</t>
  </si>
  <si>
    <t>Værdi til deklaration</t>
  </si>
  <si>
    <t>Tidsfrister</t>
  </si>
  <si>
    <t>Tidsfrist for byggeriet igangsæt</t>
  </si>
  <si>
    <t>Tidsfrist for byggeriet afslutning</t>
  </si>
  <si>
    <t>Tidsfrist for licitation</t>
  </si>
  <si>
    <t>Rammefrist for sag</t>
  </si>
  <si>
    <t>Nuværende udgave</t>
  </si>
  <si>
    <t>Versionsændring</t>
  </si>
  <si>
    <t>Beskrivelse</t>
  </si>
  <si>
    <t>Udført af</t>
  </si>
  <si>
    <t>Dato</t>
  </si>
  <si>
    <t>Nummer</t>
  </si>
  <si>
    <t>Tekst</t>
  </si>
  <si>
    <t>Støttemodel</t>
  </si>
  <si>
    <t>Støttebeskrivelse</t>
  </si>
  <si>
    <t>Tilsagn</t>
  </si>
  <si>
    <t>Licitation</t>
  </si>
  <si>
    <t>Regnskab</t>
  </si>
  <si>
    <t>Oprindelig version</t>
  </si>
  <si>
    <t>Thomas Green-Andersen</t>
  </si>
  <si>
    <t>Alle ½/⅓ - Maksimeret til 100.000/125.000 eller 150.000 til demonstrationsprojekter - WC/Bad 125.000/75.000</t>
  </si>
  <si>
    <t>Forbedringer til arket</t>
  </si>
  <si>
    <t>Alle ½/⅓ - Maksimeret til 100.000/125.000 eller 150.000 til demonstrationsprojekter</t>
  </si>
  <si>
    <t>Formateret tal i automatiske tekster på ændringsark</t>
  </si>
  <si>
    <t>Andreas Bested Nielsen</t>
  </si>
  <si>
    <t>Alle ⅓/¼ - Maksimeret til 75.000/90.000 eller 110.000 til demonstrationsprojekter</t>
  </si>
  <si>
    <t>Ændret fejl i Faktaark</t>
  </si>
  <si>
    <t>Udlejning ⅓ - Andel/Ejer ⅓/¼</t>
  </si>
  <si>
    <t>Tilføjet versionsstyring</t>
  </si>
  <si>
    <t>Tilføjet simpel adresse til Tilsagn, Licitation og Regnskab</t>
  </si>
  <si>
    <t>Tilføjet demonstrationsprojekt og projektnummer til ændrings- og faktaark</t>
  </si>
  <si>
    <t>Opdateret VBA-kode til print på Ændringsark for tilsagn</t>
  </si>
  <si>
    <t>Ny VBA-kode til migrering fra tidligere ark</t>
  </si>
  <si>
    <t>Lovbekendtgørelser tilføjet</t>
  </si>
  <si>
    <t>Støttemodeller tilføjet for 2018 og 2020</t>
  </si>
  <si>
    <t>Opsætning af data i Ændringsark ændret</t>
  </si>
  <si>
    <t>Ændret fejl i støtteberegningen</t>
  </si>
  <si>
    <t>Oprettet ny støtteberegning for 2021</t>
  </si>
  <si>
    <t>Tilføjet installationsmangler til  støtteberegning - MANGLER WC!!</t>
  </si>
  <si>
    <t>Rettet migreringskode til også at virke for licitation og regnskab</t>
  </si>
  <si>
    <t>BvB fjernet fra sager efter 2020</t>
  </si>
  <si>
    <t>Støtteformler opdelt per fase og tilrettet i Faktaark</t>
  </si>
  <si>
    <t>Rettelser i Regnskabsark jf. SBS</t>
  </si>
  <si>
    <t>2018 støttemodel tilrettet</t>
  </si>
  <si>
    <t>2022 støttemodel tilføjet</t>
  </si>
  <si>
    <t>Ændinger til beregninger i godkendelsesark</t>
  </si>
  <si>
    <t>Ændring i Ansøgning i beregning af fordelingen af teknikerhonerar mellem egne og støttede arbejder</t>
  </si>
  <si>
    <t>Line</t>
  </si>
  <si>
    <t>Ændring i Tilsagn i beregning af Byggeplads øvrige udgifter - egne arbejder</t>
  </si>
  <si>
    <t>Ændring i Tilsagn i beregning af Teknikerhonerar - støttede og egne arbejder</t>
  </si>
  <si>
    <t>Ændring i Tilsagn i beregning af Tekniske bygherreudgifter - momspligtige - egne arbejder</t>
  </si>
  <si>
    <t>Ændring i Tilsagn i beregning af Tekniske bygherreudgifter - ej momspligtige - støttede og egne arbejder</t>
  </si>
  <si>
    <t>Ændring i Tilsagn i beregning af byggelånsrenter - egne arbejder</t>
  </si>
  <si>
    <t>Ændring i Tilsagn i beregning af låneomkostninger - egne arbejder</t>
  </si>
  <si>
    <t>Ændring i Tilsagn i beregning af Administrative bygherreudgifter - momspligtige - egne arbejder</t>
  </si>
  <si>
    <t>Ændring i Tilsagn i beregning af Administrative bygherreudgifter - ej momspligtige - egne arbejder</t>
  </si>
  <si>
    <t>Ændring i Tilsagn i beregning af Driftstab i byggeperioden - egne arbejder</t>
  </si>
  <si>
    <t>Ændring i Tilsagn i beregning af Byggesagsadministration - egne arbejder</t>
  </si>
  <si>
    <t>Ændringer i ansøger-faner (grønne): Energi før og forventet tilføjet under afsnit 7</t>
  </si>
  <si>
    <t>Søren Bjarnø</t>
  </si>
  <si>
    <t>ANSØGNING OM STØTTE TIL BYFORNYELSE</t>
  </si>
  <si>
    <t>Fremsendes til mail: Bygningsfornyelse@tmf.kk.dk</t>
  </si>
  <si>
    <t>1. Ejendommen</t>
  </si>
  <si>
    <t>Adresse:</t>
  </si>
  <si>
    <t>Vejnavn(e)</t>
  </si>
  <si>
    <t>Nr adskilt med / :</t>
  </si>
  <si>
    <t>Nummer / numre</t>
  </si>
  <si>
    <t>Bogstav adskilt med / :</t>
  </si>
  <si>
    <t>Bogstav(er)</t>
  </si>
  <si>
    <t>SAVE-værdi:</t>
  </si>
  <si>
    <t>Værdi (tal)</t>
  </si>
  <si>
    <t>Postnr. :</t>
  </si>
  <si>
    <t>Matr. nr.:</t>
  </si>
  <si>
    <t>Kort matr.nr.</t>
  </si>
  <si>
    <t>Nr.</t>
  </si>
  <si>
    <t>2. Ejendommens ejer</t>
  </si>
  <si>
    <t>Navn, ejer:</t>
  </si>
  <si>
    <t>(Firma)navn</t>
  </si>
  <si>
    <t>Telefon, ejer:</t>
  </si>
  <si>
    <t>Kontaktperson:</t>
  </si>
  <si>
    <t>Navn</t>
  </si>
  <si>
    <t>Telefon, kontaktperson:</t>
  </si>
  <si>
    <t>Adresse på ejer:</t>
  </si>
  <si>
    <t>Ejers adresse</t>
  </si>
  <si>
    <t>E-mail, kontaktperson:</t>
  </si>
  <si>
    <t>E-mail</t>
  </si>
  <si>
    <t>Ejerform (ved flere indsendes separat procesark for hver ejerform):</t>
  </si>
  <si>
    <t>Andelsboliger</t>
  </si>
  <si>
    <t>Skattepligtig</t>
  </si>
  <si>
    <t>Ejerboliger</t>
  </si>
  <si>
    <t>Udlejningsejendom</t>
  </si>
  <si>
    <t>Privatejet</t>
  </si>
  <si>
    <t>Selskabsejet</t>
  </si>
  <si>
    <t>3. Byggesagsadministrator</t>
  </si>
  <si>
    <t>Navn:</t>
  </si>
  <si>
    <t>Navn (fx firma, advokat)</t>
  </si>
  <si>
    <t xml:space="preserve"> Navn</t>
  </si>
  <si>
    <t>4. Teknisk rådgiver</t>
  </si>
  <si>
    <t>Navn (fx firma, tegnestue)</t>
  </si>
  <si>
    <t>5. Værdifastsættelse af ejendom</t>
  </si>
  <si>
    <t>Værdi jf. den offentlige vurdering</t>
  </si>
  <si>
    <t>Optages der byggelån</t>
  </si>
  <si>
    <t>Optages der realkreditlån</t>
  </si>
  <si>
    <t>Projektet betales via opsparing</t>
  </si>
  <si>
    <t>Ja</t>
  </si>
  <si>
    <t>Nej</t>
  </si>
  <si>
    <t>7. Areal-, enheds- og lejeoplysninger</t>
  </si>
  <si>
    <r>
      <rPr>
        <u/>
        <sz val="11"/>
        <rFont val="Calibri"/>
        <family val="2"/>
        <scheme val="minor"/>
      </rPr>
      <t>Før</t>
    </r>
    <r>
      <rPr>
        <sz val="11"/>
        <rFont val="Calibri"/>
        <family val="2"/>
        <scheme val="minor"/>
      </rPr>
      <t xml:space="preserve"> ombygning:</t>
    </r>
  </si>
  <si>
    <t>Bolig m2</t>
  </si>
  <si>
    <t>Erhverv m2</t>
  </si>
  <si>
    <t>Total</t>
  </si>
  <si>
    <t>Antal boligenheder</t>
  </si>
  <si>
    <t>Antal erhvervsenheder</t>
  </si>
  <si>
    <t>Energiforbrug jf. bilag (vedlæg dokumentation for energibehov)</t>
  </si>
  <si>
    <r>
      <t xml:space="preserve">Energimærke, </t>
    </r>
    <r>
      <rPr>
        <b/>
        <sz val="11"/>
        <rFont val="Calibri"/>
        <family val="2"/>
        <scheme val="minor"/>
      </rPr>
      <t>før</t>
    </r>
    <r>
      <rPr>
        <sz val="11"/>
        <rFont val="Calibri"/>
        <family val="2"/>
        <scheme val="minor"/>
      </rPr>
      <t>:</t>
    </r>
  </si>
  <si>
    <r>
      <t xml:space="preserve">Energibehov, </t>
    </r>
    <r>
      <rPr>
        <b/>
        <sz val="11"/>
        <rFont val="Calibri"/>
        <family val="2"/>
        <scheme val="minor"/>
      </rPr>
      <t>før</t>
    </r>
    <r>
      <rPr>
        <sz val="11"/>
        <rFont val="Calibri"/>
        <family val="2"/>
        <scheme val="minor"/>
      </rPr>
      <t>:</t>
    </r>
  </si>
  <si>
    <t>kWh/m²/år</t>
  </si>
  <si>
    <r>
      <rPr>
        <u/>
        <sz val="11"/>
        <rFont val="Calibri"/>
        <family val="2"/>
        <scheme val="minor"/>
      </rPr>
      <t>Efter</t>
    </r>
    <r>
      <rPr>
        <sz val="11"/>
        <rFont val="Calibri"/>
        <family val="2"/>
        <scheme val="minor"/>
      </rPr>
      <t xml:space="preserve"> ombygning:</t>
    </r>
  </si>
  <si>
    <t>Årlig leje pr. m2 ekskl. forbrugsudgifter før ombygning</t>
  </si>
  <si>
    <t>Bolig pr. m2</t>
  </si>
  <si>
    <t>Erhverv pr. m2</t>
  </si>
  <si>
    <r>
      <t xml:space="preserve">Energiforbrug jf. bilag (vedlæg </t>
    </r>
    <r>
      <rPr>
        <i/>
        <sz val="11"/>
        <rFont val="Calibri"/>
        <family val="2"/>
        <scheme val="minor"/>
      </rPr>
      <t xml:space="preserve">projektspecifik </t>
    </r>
    <r>
      <rPr>
        <sz val="11"/>
        <rFont val="Calibri"/>
        <family val="2"/>
        <scheme val="minor"/>
      </rPr>
      <t>energiberegning. Benyt evt. data fra energimærke-'kladde')</t>
    </r>
  </si>
  <si>
    <r>
      <t xml:space="preserve">Energimærke, </t>
    </r>
    <r>
      <rPr>
        <b/>
        <sz val="11"/>
        <rFont val="Calibri"/>
        <family val="2"/>
        <scheme val="minor"/>
      </rPr>
      <t>forventet</t>
    </r>
    <r>
      <rPr>
        <sz val="11"/>
        <rFont val="Calibri"/>
        <family val="2"/>
        <scheme val="minor"/>
      </rPr>
      <t>:</t>
    </r>
  </si>
  <si>
    <r>
      <t xml:space="preserve">Energibehov, </t>
    </r>
    <r>
      <rPr>
        <b/>
        <sz val="11"/>
        <rFont val="Calibri"/>
        <family val="2"/>
        <scheme val="minor"/>
      </rPr>
      <t>forventet</t>
    </r>
    <r>
      <rPr>
        <sz val="11"/>
        <rFont val="Calibri"/>
        <family val="2"/>
        <scheme val="minor"/>
      </rPr>
      <t>:</t>
    </r>
  </si>
  <si>
    <t>8. Beregning af de ansøgningsberettigede udgifter</t>
  </si>
  <si>
    <t>Samlede ombygningsudgifter efter fradrag</t>
  </si>
  <si>
    <t>Samlede egne arbejder</t>
  </si>
  <si>
    <t>Støtte efter anden lovgivning vedr. forbedring</t>
  </si>
  <si>
    <t>Støtte efter anden lovgivning vedr. vedligehold</t>
  </si>
  <si>
    <t>Støtte efter anden lovgivning vedr. egenfinasierede arbejder</t>
  </si>
  <si>
    <t>Ansøgningsberettigede udgift jf. skema - evt. anden støtte</t>
  </si>
  <si>
    <t>9. Behov for genhusning</t>
  </si>
  <si>
    <t>Midlertidig genhusning</t>
  </si>
  <si>
    <t>Permanent genhusning</t>
  </si>
  <si>
    <t>10. Ejers erklæring og underskrift</t>
  </si>
  <si>
    <t>Undertegnede ejer af ejendommen erklærer herved på tro og love, at ovenstående oplysninger er korrekte og ingen af de arbejder, der er omfattet af ansøgningen er påbegyndt.</t>
  </si>
  <si>
    <t>De budgetterede udgifter</t>
  </si>
  <si>
    <t>I</t>
  </si>
  <si>
    <t>II</t>
  </si>
  <si>
    <t>III</t>
  </si>
  <si>
    <t>IV</t>
  </si>
  <si>
    <t>Bygningsdel:</t>
  </si>
  <si>
    <t>Omfang:</t>
  </si>
  <si>
    <t>Forbedring</t>
  </si>
  <si>
    <t>01.</t>
  </si>
  <si>
    <t>Tagværk</t>
  </si>
  <si>
    <t>m2</t>
  </si>
  <si>
    <t>02.</t>
  </si>
  <si>
    <t>Kælder / fundering</t>
  </si>
  <si>
    <t>03.</t>
  </si>
  <si>
    <t>Facader / sokkel</t>
  </si>
  <si>
    <t>04.</t>
  </si>
  <si>
    <t>Vinduer</t>
  </si>
  <si>
    <t>Antal</t>
  </si>
  <si>
    <t>05.</t>
  </si>
  <si>
    <t>Udvendige døre</t>
  </si>
  <si>
    <t>06.</t>
  </si>
  <si>
    <t>Trapper</t>
  </si>
  <si>
    <t>07.</t>
  </si>
  <si>
    <t>Porte / gennemgange</t>
  </si>
  <si>
    <t>08.</t>
  </si>
  <si>
    <t>Etageadskillelser</t>
  </si>
  <si>
    <t>m²</t>
  </si>
  <si>
    <t>09.</t>
  </si>
  <si>
    <t>WC / bad</t>
  </si>
  <si>
    <t>10.</t>
  </si>
  <si>
    <t>Køkken</t>
  </si>
  <si>
    <t>11.</t>
  </si>
  <si>
    <t>Varmeanlæg</t>
  </si>
  <si>
    <t xml:space="preserve">Antal </t>
  </si>
  <si>
    <t>12.</t>
  </si>
  <si>
    <t>Afløb</t>
  </si>
  <si>
    <t>13.</t>
  </si>
  <si>
    <t>Kloak</t>
  </si>
  <si>
    <t>14.</t>
  </si>
  <si>
    <t>Vandinstallation</t>
  </si>
  <si>
    <t>15.</t>
  </si>
  <si>
    <t>Gasinstallation</t>
  </si>
  <si>
    <t>16.</t>
  </si>
  <si>
    <t>Ventilation</t>
  </si>
  <si>
    <t>17.</t>
  </si>
  <si>
    <t>El / svagstrøm</t>
  </si>
  <si>
    <t>18.</t>
  </si>
  <si>
    <t>Øvrige ombygningsarbejder</t>
  </si>
  <si>
    <t xml:space="preserve">Fordeling af øvrige udgifter baseret på punkt 1-18 </t>
  </si>
  <si>
    <t>Fordeling fra punkt 1-18 anvendes på efterfølgende udgifter dog ikke punkt 19</t>
  </si>
  <si>
    <t>Fordeling af udgifter i Punkt 19 baseret på punkt 1, 3 og 4</t>
  </si>
  <si>
    <t>19.</t>
  </si>
  <si>
    <t>Byggeplads Udgifter til stillads</t>
  </si>
  <si>
    <t>20.</t>
  </si>
  <si>
    <t>Byggeplads Øvrige udgifter</t>
  </si>
  <si>
    <t>A</t>
  </si>
  <si>
    <t xml:space="preserve">Samlede håndværkerudgifter </t>
  </si>
  <si>
    <t>Afsatte beløb jfr. specifikation</t>
  </si>
  <si>
    <t xml:space="preserve">B </t>
  </si>
  <si>
    <t xml:space="preserve">Samlet afsatte beløb </t>
  </si>
  <si>
    <t xml:space="preserve">Teknikerhonorar </t>
  </si>
  <si>
    <t>Tekniske bygherreudgifter - momspligtige</t>
  </si>
  <si>
    <t>Tekniske bygherreudgifter - ej momspligtige</t>
  </si>
  <si>
    <t>C</t>
  </si>
  <si>
    <t>Samlet tekniske udgifter</t>
  </si>
  <si>
    <t>Byggelånsrenter</t>
  </si>
  <si>
    <t>Låneomkostninger</t>
  </si>
  <si>
    <t xml:space="preserve">D </t>
  </si>
  <si>
    <t>Samlede låneomkostninger</t>
  </si>
  <si>
    <t>Administrative bygherreudgifter - momspligtige</t>
  </si>
  <si>
    <t>Administrative bygherreudgifter - ej momspligtige</t>
  </si>
  <si>
    <t>Driftstab i byggeperioden</t>
  </si>
  <si>
    <t>Byggesagsadministration</t>
  </si>
  <si>
    <t>E</t>
  </si>
  <si>
    <t>Samlede administrative udgifter</t>
  </si>
  <si>
    <t xml:space="preserve">Moms af håndværkerudgifter </t>
  </si>
  <si>
    <t>Moms af tekniske bygherreudgifter</t>
  </si>
  <si>
    <t>Moms af administrative bygherreudgifter</t>
  </si>
  <si>
    <t>Moms af byggesagsadministration</t>
  </si>
  <si>
    <t>F</t>
  </si>
  <si>
    <t>Samlet moms</t>
  </si>
  <si>
    <t>Fradrag pga. støtte jf. anden lovgivning</t>
  </si>
  <si>
    <t>Opgjort ved prisindex</t>
  </si>
  <si>
    <t>Ændringsark - Tilsagn</t>
  </si>
  <si>
    <t>Bygningsdel og post</t>
  </si>
  <si>
    <t>Omfang</t>
  </si>
  <si>
    <t>Forklaring på ændring</t>
  </si>
  <si>
    <t>Godkendt forbedring</t>
  </si>
  <si>
    <t>Ansøgt forbedring</t>
  </si>
  <si>
    <t>Der er godkendt
 mere end ansøgt</t>
  </si>
  <si>
    <t>0/0</t>
  </si>
  <si>
    <t xml:space="preserve">Afsatte beløb jfr. specifikation </t>
  </si>
  <si>
    <t xml:space="preserve">Øvrige udgifter </t>
  </si>
  <si>
    <t>Godkendt beløb</t>
  </si>
  <si>
    <t>Ansøgt beløb</t>
  </si>
  <si>
    <t>Adm. bygherreudgifter - momspligtige</t>
  </si>
  <si>
    <t>Adm. bygherreudgifter - ej momspligtige</t>
  </si>
  <si>
    <t>Byggeindeks</t>
  </si>
  <si>
    <t>Byggeindeks kan findes her:</t>
  </si>
  <si>
    <t>https://www.dst.dk/da/Statistik/emner/priser-og-forbrug/omkostningsindeks/byggeomkostningsindeks-for-boliger</t>
  </si>
  <si>
    <t xml:space="preserve">Anvend Byggeomkostningsindeks for etageboliger. Række: I alt </t>
  </si>
  <si>
    <t>Anvender den del af bygggesagsadministrationen der vedrøre de støttede arbejder ikke egenfinansierede arbejder</t>
  </si>
  <si>
    <t>Projektnr. i eDoc</t>
  </si>
  <si>
    <t>Indsæt projektnr.</t>
  </si>
  <si>
    <t>Sagsnr. i eDoc</t>
  </si>
  <si>
    <t>Indsæt sagsnr.</t>
  </si>
  <si>
    <t xml:space="preserve">Beregningsgrundlag </t>
  </si>
  <si>
    <t>Navn på projektleder</t>
  </si>
  <si>
    <t>Anvendt indeks</t>
  </si>
  <si>
    <t>Tilsagn afsendt</t>
  </si>
  <si>
    <t>Indsæt dato</t>
  </si>
  <si>
    <t>Grundbeløb</t>
  </si>
  <si>
    <t>Politisk behandlet</t>
  </si>
  <si>
    <t>Ref Lov</t>
  </si>
  <si>
    <t>Indsæt ref lov</t>
  </si>
  <si>
    <t>Vælg Model</t>
  </si>
  <si>
    <t>Kort matr. nr.</t>
  </si>
  <si>
    <t>Matr. nr.</t>
  </si>
  <si>
    <t>Demoprojekt</t>
  </si>
  <si>
    <t>Langt matr. nr.</t>
  </si>
  <si>
    <t>Save Værdi</t>
  </si>
  <si>
    <t>SAVE</t>
  </si>
  <si>
    <t xml:space="preserve">Total ex moms </t>
  </si>
  <si>
    <t>Rammefrist</t>
  </si>
  <si>
    <t>Frist for licitation</t>
  </si>
  <si>
    <t>Ønskes genhusning</t>
  </si>
  <si>
    <t>Rest</t>
  </si>
  <si>
    <t>Hvis tal til højre er rødt, 
så indgår det ikke i beregningen af
 byggesagsadministration</t>
  </si>
  <si>
    <t>Udgift i kr</t>
  </si>
  <si>
    <t>Udgift pr. genhusning</t>
  </si>
  <si>
    <t>Moms af håndværkerudg. og tek.honorar</t>
  </si>
  <si>
    <t>Fradrag for støtte efter anden lovgivning</t>
  </si>
  <si>
    <t>Samlede støtteberettigede udgifter</t>
  </si>
  <si>
    <t>Post nr. :</t>
  </si>
  <si>
    <t xml:space="preserve">Optages der byggelån? </t>
  </si>
  <si>
    <t>Optages der realkreditlån?</t>
  </si>
  <si>
    <t>Projektet betales via opsparing?</t>
  </si>
  <si>
    <t>7. Areal- og boligoplysninger</t>
  </si>
  <si>
    <t>Antal erhvervenheder</t>
  </si>
  <si>
    <t>Samlede ombygningsudgifter for ejendommen jf. skema</t>
  </si>
  <si>
    <t>Heraf samlet egenfinansiering jf. skema</t>
  </si>
  <si>
    <t>Ansøgningsberettigede udgifter jf. skema</t>
  </si>
  <si>
    <t>Støtte efter anden lovgivning. (vedlæg bilag)</t>
  </si>
  <si>
    <t>Ændringsark - Licitation</t>
  </si>
  <si>
    <t>Sags nr. i Edoc</t>
  </si>
  <si>
    <t>Indsæt sags nr.</t>
  </si>
  <si>
    <t>Indsæt navn</t>
  </si>
  <si>
    <t>Fyldestgørende licitation modtaget</t>
  </si>
  <si>
    <t>BFO nr.</t>
  </si>
  <si>
    <t xml:space="preserve">Indsæt BFO nr. </t>
  </si>
  <si>
    <t>Frist for arbejdernes igangsættelse</t>
  </si>
  <si>
    <t>Dato for arbejderse færdiggørelse</t>
  </si>
  <si>
    <t>Frist for fremsendelse af regnskab</t>
  </si>
  <si>
    <r>
      <rPr>
        <u/>
        <sz val="11"/>
        <rFont val="Calibri"/>
        <family val="2"/>
        <scheme val="minor"/>
      </rPr>
      <t>Før</t>
    </r>
    <r>
      <rPr>
        <sz val="11"/>
        <rFont val="Calibri"/>
        <family val="2"/>
        <scheme val="minor"/>
      </rPr>
      <t xml:space="preserve"> ombygning</t>
    </r>
  </si>
  <si>
    <r>
      <rPr>
        <u/>
        <sz val="11"/>
        <rFont val="Calibri"/>
        <family val="2"/>
        <scheme val="minor"/>
      </rPr>
      <t>Efter</t>
    </r>
    <r>
      <rPr>
        <sz val="11"/>
        <rFont val="Calibri"/>
        <family val="2"/>
        <scheme val="minor"/>
      </rPr>
      <t xml:space="preserve"> ombygning</t>
    </r>
  </si>
  <si>
    <t>Moms af håndværkerudgifter og teknikerhonora</t>
  </si>
  <si>
    <t>Ændringsark - Byggeregnskab</t>
  </si>
  <si>
    <t>Øvrige fradrag</t>
  </si>
  <si>
    <t>Sags nr. i Edok</t>
  </si>
  <si>
    <t>Indsæt navn på projektleder</t>
  </si>
  <si>
    <t>Fyldestgørende materiale modtaget</t>
  </si>
  <si>
    <t xml:space="preserve">Indsæt dato </t>
  </si>
  <si>
    <t>Byggeregnskab godkendt</t>
  </si>
  <si>
    <t>PSP-element til tilskud</t>
  </si>
  <si>
    <t>Indsæt psp-element</t>
  </si>
  <si>
    <t>PSP-element til BvB bidrag</t>
  </si>
  <si>
    <t xml:space="preserve">Indsæt psp-element </t>
  </si>
  <si>
    <t>PSP-element til tinglysning</t>
  </si>
  <si>
    <t>Er regnskabet forsinket?</t>
  </si>
  <si>
    <t>Skattefradrag</t>
  </si>
  <si>
    <t>Renteudgifter vedr. vedligehold</t>
  </si>
  <si>
    <t>Ejerform</t>
  </si>
  <si>
    <t>Fradrag totalt</t>
  </si>
  <si>
    <t>Fradrag pga. aconto lejeforhøjelser</t>
  </si>
  <si>
    <t>Lejeforhøjelse ikrafttræden</t>
  </si>
  <si>
    <t>Antal måneder med aconto leje</t>
  </si>
  <si>
    <t>Samlet fradrag pga. aconto leje</t>
  </si>
  <si>
    <t>D</t>
  </si>
  <si>
    <t>Ansøgte støtteberettigede udgifter før fradrag</t>
  </si>
  <si>
    <t>Ansøgte støtteberettigede udgifter efter fradrag</t>
  </si>
  <si>
    <t>Ikke-støttede arbejder</t>
  </si>
  <si>
    <t>Forskel overført til ikke-støttede arb.</t>
  </si>
  <si>
    <t>Samlede udgifter for ikke-støttede arbejder</t>
  </si>
  <si>
    <t>Ikke støttede arbejder</t>
  </si>
  <si>
    <t>B</t>
  </si>
  <si>
    <t xml:space="preserve">Find byggeomkostningsindeks for etageboliger her: </t>
  </si>
  <si>
    <t>BFE-nr.:</t>
  </si>
  <si>
    <t>Overskrifter rettet. Links til byggeindex indsat i grønne faner. Skema 2 og 4 slettet. Ark "Transport, skæringsdato og aconto huslejeforhøjelse" slettet. Ejendomsnr. ændret til BFE-nr.</t>
  </si>
  <si>
    <t>Midlertidig genhusning, antal boliger</t>
  </si>
  <si>
    <r>
      <t xml:space="preserve">Energimærke, </t>
    </r>
    <r>
      <rPr>
        <b/>
        <sz val="11"/>
        <rFont val="Calibri"/>
        <family val="2"/>
        <scheme val="minor"/>
      </rPr>
      <t>efter</t>
    </r>
    <r>
      <rPr>
        <sz val="11"/>
        <rFont val="Calibri"/>
        <family val="2"/>
        <scheme val="minor"/>
      </rPr>
      <t>:</t>
    </r>
  </si>
  <si>
    <r>
      <t xml:space="preserve">Energibehov, </t>
    </r>
    <r>
      <rPr>
        <b/>
        <sz val="11"/>
        <rFont val="Calibri"/>
        <family val="2"/>
        <scheme val="minor"/>
      </rPr>
      <t>efter</t>
    </r>
    <r>
      <rPr>
        <sz val="11"/>
        <rFont val="Calibri"/>
        <family val="2"/>
        <scheme val="minor"/>
      </rPr>
      <t>:</t>
    </r>
  </si>
  <si>
    <r>
      <t>6. Låneform</t>
    </r>
    <r>
      <rPr>
        <sz val="11"/>
        <rFont val="Calibri"/>
        <family val="2"/>
        <scheme val="minor"/>
      </rPr>
      <t xml:space="preserve"> (sæt X)</t>
    </r>
  </si>
  <si>
    <r>
      <t>Udlejet areal i m</t>
    </r>
    <r>
      <rPr>
        <sz val="11"/>
        <rFont val="Calibri"/>
        <family val="2"/>
      </rPr>
      <t>²</t>
    </r>
  </si>
  <si>
    <t>Udlejet areal i m²</t>
  </si>
  <si>
    <t>Regnefejl rettet i pkt. C, D og E i kolonner K, L og M i blå faner "Tilsagn", "Licitation - Ansøger" og "Regnskab - Ansøger"</t>
  </si>
  <si>
    <t>De faktiske, afholdte udgifter</t>
  </si>
  <si>
    <t>Ændring: I andelsbolig- og ejerforeninger er beregning af uforudsigelige udgifter ændret fra 10% til 0%. I Udlejning er det kun 'Forbedring', der tillægges 10% til uforudseelige udgifter. Makro redigeret, så den 'læser' tidligere ark fra de rigtige celler.</t>
  </si>
  <si>
    <t>Afsat beløb jf. rådgivers vedlagte specifikation</t>
  </si>
  <si>
    <t>Mindre rettelser i overskrifter i række 2 i fanen "Ændringer 1".</t>
  </si>
  <si>
    <t>Ændring af ordlyden "uforudseelige udgifter" til: "uforudsete udgifter"</t>
  </si>
  <si>
    <t>Uforudsete udgifter (forbedr.)</t>
  </si>
  <si>
    <t>Uforudsete udgifter</t>
  </si>
  <si>
    <t>Udgangspunkt 2021</t>
  </si>
  <si>
    <t>Udgangspunkt 2020</t>
  </si>
  <si>
    <t>Nyt Indeks (BYG62) med år 2021 = 100</t>
  </si>
  <si>
    <t>Ændring af af byggeindex (fra 2015K4 til nyt: 2021) i fanerne "Ændringer, ….1, ….2"</t>
  </si>
  <si>
    <t>Mindre tekstpræciseringer i punkter om hhv. teknikerhonorar og byggesagsaadministration (i røde faner)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</si>
</sst>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kr.&quot;_-;\-* #,##0.00\ &quot;kr.&quot;_-;_-* &quot;-&quot;??\ &quot;kr.&quot;_-;_-@_-"/>
    <numFmt numFmtId="164" formatCode="_-* #,##0.00\ _k_r_._-;\-* #,##0.00\ _k_r_._-;_-* &quot;-&quot;??\ _k_r_._-;_-@_-"/>
    <numFmt numFmtId="165" formatCode="_ &quot;kr.&quot;\ * #,##0.00_ ;_ &quot;kr.&quot;\ * \-#,##0.00_ ;_ &quot;kr.&quot;\ * &quot;-&quot;??_ ;_ @_ "/>
    <numFmt numFmtId="166" formatCode="_ &quot;kr.&quot;\ * #,##0_ ;_ &quot;kr.&quot;\ * \-#,##0_ ;_ &quot;kr.&quot;\ * &quot;-&quot;??_ ;_ @_ "/>
    <numFmt numFmtId="167" formatCode="[$-F800]dddd\,\ mmmm\ dd\,\ yyyy"/>
    <numFmt numFmtId="168" formatCode="#,##0;[Red]&quot;-&quot;#,##0"/>
    <numFmt numFmtId="169" formatCode="_-* #,##0\ _k_r_._-;\-* #,##0\ _k_r_._-;_-* &quot;-&quot;??\ _k_r_._-;_-@_-"/>
    <numFmt numFmtId="170" formatCode="0.0"/>
    <numFmt numFmtId="171" formatCode="#,##0.00_ ;\-#,##0.00\ "/>
    <numFmt numFmtId="172" formatCode="#,##0_ ;[Red]\-#,##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8"/>
      <color rgb="FF000000"/>
      <name val="KBH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9"/>
      <name val="Calibri"/>
      <family val="2"/>
      <scheme val="minor"/>
    </font>
    <font>
      <u/>
      <sz val="9"/>
      <color theme="10"/>
      <name val="Calibri"/>
      <family val="2"/>
    </font>
    <font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CE6F1"/>
        <bgColor rgb="FF000000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9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 applyProtection="1">
      <alignment horizontal="center"/>
      <protection locked="0"/>
    </xf>
    <xf numFmtId="168" fontId="8" fillId="0" borderId="1" xfId="3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8" borderId="0" xfId="0" applyFont="1" applyFill="1"/>
    <xf numFmtId="0" fontId="5" fillId="8" borderId="0" xfId="0" applyFont="1" applyFill="1" applyAlignment="1">
      <alignment horizontal="left"/>
    </xf>
    <xf numFmtId="0" fontId="7" fillId="2" borderId="30" xfId="0" applyFont="1" applyFill="1" applyBorder="1" applyAlignment="1">
      <alignment horizontal="left" vertical="center"/>
    </xf>
    <xf numFmtId="0" fontId="5" fillId="5" borderId="1" xfId="0" applyFont="1" applyFill="1" applyBorder="1"/>
    <xf numFmtId="0" fontId="5" fillId="5" borderId="13" xfId="0" applyFont="1" applyFill="1" applyBorder="1"/>
    <xf numFmtId="0" fontId="8" fillId="0" borderId="11" xfId="0" applyFont="1" applyBorder="1" applyAlignment="1" applyProtection="1">
      <alignment horizontal="center"/>
      <protection locked="0"/>
    </xf>
    <xf numFmtId="0" fontId="0" fillId="0" borderId="40" xfId="0" applyBorder="1"/>
    <xf numFmtId="10" fontId="0" fillId="0" borderId="40" xfId="0" applyNumberFormat="1" applyBorder="1"/>
    <xf numFmtId="0" fontId="0" fillId="0" borderId="40" xfId="0" applyBorder="1" applyAlignment="1">
      <alignment horizontal="center"/>
    </xf>
    <xf numFmtId="0" fontId="0" fillId="10" borderId="0" xfId="0" applyFill="1"/>
    <xf numFmtId="0" fontId="5" fillId="10" borderId="0" xfId="0" applyFont="1" applyFill="1" applyAlignment="1">
      <alignment vertical="center"/>
    </xf>
    <xf numFmtId="165" fontId="5" fillId="0" borderId="1" xfId="1" applyFont="1" applyFill="1" applyBorder="1" applyAlignment="1" applyProtection="1">
      <alignment vertical="center"/>
    </xf>
    <xf numFmtId="0" fontId="5" fillId="10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165" fontId="8" fillId="0" borderId="1" xfId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165" fontId="0" fillId="0" borderId="41" xfId="1" applyFont="1" applyBorder="1" applyAlignment="1"/>
    <xf numFmtId="166" fontId="0" fillId="0" borderId="41" xfId="1" applyNumberFormat="1" applyFont="1" applyBorder="1" applyAlignment="1"/>
    <xf numFmtId="164" fontId="0" fillId="0" borderId="41" xfId="3" applyFont="1" applyBorder="1" applyAlignment="1"/>
    <xf numFmtId="164" fontId="0" fillId="0" borderId="37" xfId="3" applyFont="1" applyBorder="1" applyAlignment="1"/>
    <xf numFmtId="0" fontId="5" fillId="8" borderId="9" xfId="0" applyFont="1" applyFill="1" applyBorder="1"/>
    <xf numFmtId="165" fontId="5" fillId="0" borderId="1" xfId="1" applyFont="1" applyFill="1" applyBorder="1" applyAlignment="1" applyProtection="1">
      <alignment vertical="center" wrapText="1"/>
    </xf>
    <xf numFmtId="165" fontId="8" fillId="0" borderId="1" xfId="1" applyFont="1" applyFill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9" fontId="5" fillId="0" borderId="1" xfId="0" applyNumberFormat="1" applyFont="1" applyBorder="1" applyAlignment="1">
      <alignment vertical="center"/>
    </xf>
    <xf numFmtId="165" fontId="5" fillId="0" borderId="19" xfId="1" applyFont="1" applyFill="1" applyBorder="1" applyAlignment="1" applyProtection="1">
      <alignment vertical="center" wrapText="1"/>
    </xf>
    <xf numFmtId="165" fontId="5" fillId="0" borderId="19" xfId="1" applyFont="1" applyFill="1" applyBorder="1" applyAlignment="1" applyProtection="1">
      <alignment vertical="center"/>
    </xf>
    <xf numFmtId="0" fontId="0" fillId="2" borderId="2" xfId="0" applyFill="1" applyBorder="1" applyAlignment="1">
      <alignment vertical="center"/>
    </xf>
    <xf numFmtId="0" fontId="0" fillId="2" borderId="15" xfId="0" applyFill="1" applyBorder="1" applyAlignment="1">
      <alignment vertical="center" wrapText="1"/>
    </xf>
    <xf numFmtId="165" fontId="1" fillId="0" borderId="1" xfId="1" applyFont="1" applyFill="1" applyBorder="1" applyAlignment="1" applyProtection="1">
      <alignment vertical="center"/>
    </xf>
    <xf numFmtId="165" fontId="1" fillId="0" borderId="1" xfId="1" applyFont="1" applyFill="1" applyBorder="1" applyAlignment="1" applyProtection="1">
      <alignment vertical="center" wrapText="1"/>
    </xf>
    <xf numFmtId="0" fontId="0" fillId="8" borderId="0" xfId="0" applyFill="1"/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8" borderId="12" xfId="0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0" fontId="0" fillId="8" borderId="18" xfId="0" applyFill="1" applyBorder="1" applyAlignment="1">
      <alignment horizontal="left" vertical="center"/>
    </xf>
    <xf numFmtId="0" fontId="0" fillId="8" borderId="9" xfId="0" applyFill="1" applyBorder="1"/>
    <xf numFmtId="0" fontId="0" fillId="8" borderId="10" xfId="0" applyFill="1" applyBorder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0" fillId="0" borderId="19" xfId="0" applyBorder="1" applyAlignment="1">
      <alignment horizontal="left" vertical="center"/>
    </xf>
    <xf numFmtId="168" fontId="0" fillId="0" borderId="1" xfId="3" applyNumberFormat="1" applyFont="1" applyFill="1" applyBorder="1" applyAlignment="1" applyProtection="1">
      <alignment horizontal="center" vertical="center"/>
    </xf>
    <xf numFmtId="0" fontId="0" fillId="0" borderId="49" xfId="0" applyBorder="1"/>
    <xf numFmtId="0" fontId="0" fillId="0" borderId="52" xfId="0" applyBorder="1"/>
    <xf numFmtId="0" fontId="7" fillId="8" borderId="0" xfId="0" applyFont="1" applyFill="1" applyAlignment="1">
      <alignment horizontal="left" vertical="center"/>
    </xf>
    <xf numFmtId="171" fontId="7" fillId="8" borderId="0" xfId="3" applyNumberFormat="1" applyFont="1" applyFill="1" applyBorder="1" applyAlignment="1" applyProtection="1">
      <alignment horizontal="center" vertical="center"/>
    </xf>
    <xf numFmtId="0" fontId="0" fillId="0" borderId="54" xfId="0" applyBorder="1"/>
    <xf numFmtId="0" fontId="0" fillId="10" borderId="7" xfId="0" applyFill="1" applyBorder="1"/>
    <xf numFmtId="165" fontId="1" fillId="0" borderId="19" xfId="1" applyFont="1" applyFill="1" applyBorder="1" applyAlignment="1" applyProtection="1">
      <alignment vertical="center" wrapText="1"/>
    </xf>
    <xf numFmtId="0" fontId="0" fillId="0" borderId="22" xfId="0" applyBorder="1"/>
    <xf numFmtId="0" fontId="8" fillId="0" borderId="24" xfId="0" applyFont="1" applyBorder="1" applyAlignment="1" applyProtection="1">
      <alignment vertical="center"/>
      <protection locked="0"/>
    </xf>
    <xf numFmtId="0" fontId="0" fillId="0" borderId="41" xfId="0" applyBorder="1" applyAlignment="1">
      <alignment horizontal="center" wrapText="1"/>
    </xf>
    <xf numFmtId="0" fontId="0" fillId="0" borderId="40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165" fontId="0" fillId="0" borderId="41" xfId="1" applyFont="1" applyFill="1" applyBorder="1" applyAlignment="1">
      <alignment horizontal="center" wrapText="1"/>
    </xf>
    <xf numFmtId="44" fontId="0" fillId="0" borderId="41" xfId="0" applyNumberFormat="1" applyBorder="1" applyAlignment="1">
      <alignment horizontal="center" wrapText="1"/>
    </xf>
    <xf numFmtId="165" fontId="0" fillId="0" borderId="41" xfId="1" applyFont="1" applyFill="1" applyBorder="1" applyAlignment="1">
      <alignment horizontal="right" wrapText="1"/>
    </xf>
    <xf numFmtId="10" fontId="0" fillId="0" borderId="41" xfId="0" applyNumberFormat="1" applyBorder="1"/>
    <xf numFmtId="0" fontId="0" fillId="0" borderId="41" xfId="0" applyBorder="1" applyAlignment="1">
      <alignment horizontal="center"/>
    </xf>
    <xf numFmtId="171" fontId="0" fillId="0" borderId="19" xfId="3" applyNumberFormat="1" applyFont="1" applyFill="1" applyBorder="1" applyAlignment="1" applyProtection="1">
      <alignment horizontal="center" vertical="center"/>
    </xf>
    <xf numFmtId="4" fontId="0" fillId="0" borderId="1" xfId="3" applyNumberFormat="1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0" fillId="0" borderId="19" xfId="3" applyNumberFormat="1" applyFont="1" applyFill="1" applyBorder="1" applyAlignment="1" applyProtection="1">
      <alignment horizontal="center" vertical="center"/>
    </xf>
    <xf numFmtId="171" fontId="0" fillId="0" borderId="2" xfId="3" applyNumberFormat="1" applyFont="1" applyFill="1" applyBorder="1" applyAlignment="1" applyProtection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1" fontId="0" fillId="0" borderId="11" xfId="3" applyNumberFormat="1" applyFont="1" applyFill="1" applyBorder="1" applyAlignment="1" applyProtection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71" fontId="2" fillId="2" borderId="29" xfId="3" applyNumberFormat="1" applyFont="1" applyFill="1" applyBorder="1" applyAlignment="1" applyProtection="1">
      <alignment horizontal="center" vertical="center"/>
    </xf>
    <xf numFmtId="171" fontId="0" fillId="0" borderId="38" xfId="3" applyNumberFormat="1" applyFont="1" applyFill="1" applyBorder="1" applyAlignment="1" applyProtection="1">
      <alignment horizontal="center" vertical="center"/>
    </xf>
    <xf numFmtId="171" fontId="2" fillId="2" borderId="22" xfId="3" applyNumberFormat="1" applyFont="1" applyFill="1" applyBorder="1" applyAlignment="1" applyProtection="1">
      <alignment horizontal="center" vertical="center"/>
    </xf>
    <xf numFmtId="171" fontId="0" fillId="0" borderId="1" xfId="3" applyNumberFormat="1" applyFont="1" applyFill="1" applyBorder="1" applyAlignment="1" applyProtection="1">
      <alignment horizontal="center" vertical="center"/>
    </xf>
    <xf numFmtId="171" fontId="0" fillId="0" borderId="25" xfId="3" applyNumberFormat="1" applyFont="1" applyFill="1" applyBorder="1" applyAlignment="1" applyProtection="1">
      <alignment horizontal="center" vertical="center"/>
    </xf>
    <xf numFmtId="171" fontId="0" fillId="0" borderId="44" xfId="3" applyNumberFormat="1" applyFont="1" applyFill="1" applyBorder="1" applyAlignment="1" applyProtection="1">
      <alignment horizontal="center" vertical="center"/>
    </xf>
    <xf numFmtId="171" fontId="2" fillId="2" borderId="30" xfId="3" applyNumberFormat="1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4" fontId="0" fillId="0" borderId="11" xfId="3" applyNumberFormat="1" applyFont="1" applyFill="1" applyBorder="1" applyAlignment="1" applyProtection="1">
      <alignment horizontal="center" vertical="center"/>
    </xf>
    <xf numFmtId="171" fontId="2" fillId="2" borderId="3" xfId="3" applyNumberFormat="1" applyFont="1" applyFill="1" applyBorder="1" applyAlignment="1" applyProtection="1">
      <alignment horizontal="center" vertical="center"/>
    </xf>
    <xf numFmtId="171" fontId="0" fillId="6" borderId="44" xfId="3" applyNumberFormat="1" applyFont="1" applyFill="1" applyBorder="1" applyAlignment="1" applyProtection="1">
      <alignment horizontal="center" vertical="center"/>
    </xf>
    <xf numFmtId="0" fontId="0" fillId="0" borderId="35" xfId="0" applyBorder="1" applyAlignment="1">
      <alignment wrapText="1"/>
    </xf>
    <xf numFmtId="171" fontId="7" fillId="8" borderId="0" xfId="3" applyNumberFormat="1" applyFont="1" applyFill="1" applyBorder="1" applyAlignment="1" applyProtection="1">
      <alignment horizontal="left" vertical="center"/>
    </xf>
    <xf numFmtId="165" fontId="0" fillId="0" borderId="1" xfId="1" applyFont="1" applyBorder="1" applyProtection="1"/>
    <xf numFmtId="165" fontId="0" fillId="0" borderId="13" xfId="1" applyFont="1" applyBorder="1" applyProtection="1"/>
    <xf numFmtId="166" fontId="0" fillId="0" borderId="11" xfId="1" applyNumberFormat="1" applyFont="1" applyBorder="1" applyAlignment="1"/>
    <xf numFmtId="164" fontId="0" fillId="0" borderId="11" xfId="3" applyFont="1" applyBorder="1" applyAlignment="1"/>
    <xf numFmtId="0" fontId="0" fillId="0" borderId="1" xfId="0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65" fontId="0" fillId="0" borderId="11" xfId="1" applyFont="1" applyBorder="1" applyAlignment="1"/>
    <xf numFmtId="165" fontId="0" fillId="0" borderId="41" xfId="1" applyFont="1" applyBorder="1"/>
    <xf numFmtId="10" fontId="0" fillId="0" borderId="41" xfId="4" applyNumberFormat="1" applyFont="1" applyFill="1" applyBorder="1" applyAlignment="1">
      <alignment horizontal="right" wrapText="1"/>
    </xf>
    <xf numFmtId="0" fontId="8" fillId="0" borderId="37" xfId="0" applyFont="1" applyBorder="1" applyAlignment="1" applyProtection="1">
      <alignment horizontal="center"/>
      <protection locked="0"/>
    </xf>
    <xf numFmtId="0" fontId="0" fillId="0" borderId="40" xfId="0" applyBorder="1" applyAlignment="1">
      <alignment wrapText="1"/>
    </xf>
    <xf numFmtId="165" fontId="0" fillId="3" borderId="1" xfId="1" applyFont="1" applyFill="1" applyBorder="1"/>
    <xf numFmtId="165" fontId="0" fillId="3" borderId="13" xfId="1" applyFont="1" applyFill="1" applyBorder="1"/>
    <xf numFmtId="165" fontId="0" fillId="7" borderId="1" xfId="1" applyFont="1" applyFill="1" applyBorder="1"/>
    <xf numFmtId="171" fontId="7" fillId="5" borderId="1" xfId="3" applyNumberFormat="1" applyFont="1" applyFill="1" applyBorder="1" applyAlignment="1" applyProtection="1">
      <alignment vertical="center"/>
    </xf>
    <xf numFmtId="0" fontId="0" fillId="0" borderId="52" xfId="0" applyBorder="1" applyAlignment="1">
      <alignment horizontal="left" wrapText="1"/>
    </xf>
    <xf numFmtId="0" fontId="8" fillId="0" borderId="41" xfId="0" applyFont="1" applyBorder="1" applyAlignment="1" applyProtection="1">
      <alignment horizontal="center"/>
      <protection locked="0"/>
    </xf>
    <xf numFmtId="0" fontId="0" fillId="9" borderId="48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6" borderId="41" xfId="0" applyFill="1" applyBorder="1" applyAlignment="1">
      <alignment horizontal="center"/>
    </xf>
    <xf numFmtId="0" fontId="0" fillId="9" borderId="48" xfId="0" applyFill="1" applyBorder="1" applyAlignment="1">
      <alignment horizontal="left"/>
    </xf>
    <xf numFmtId="0" fontId="0" fillId="9" borderId="43" xfId="0" applyFill="1" applyBorder="1" applyAlignment="1">
      <alignment horizontal="left"/>
    </xf>
    <xf numFmtId="0" fontId="0" fillId="9" borderId="45" xfId="0" applyFill="1" applyBorder="1" applyAlignment="1">
      <alignment horizontal="left"/>
    </xf>
    <xf numFmtId="0" fontId="0" fillId="9" borderId="45" xfId="0" applyFill="1" applyBorder="1" applyAlignment="1">
      <alignment horizontal="center"/>
    </xf>
    <xf numFmtId="165" fontId="0" fillId="0" borderId="37" xfId="1" applyFont="1" applyBorder="1" applyAlignment="1">
      <alignment horizontal="center"/>
    </xf>
    <xf numFmtId="165" fontId="0" fillId="0" borderId="41" xfId="1" applyFont="1" applyBorder="1" applyAlignment="1">
      <alignment horizontal="center"/>
    </xf>
    <xf numFmtId="0" fontId="5" fillId="5" borderId="11" xfId="0" applyFont="1" applyFill="1" applyBorder="1"/>
    <xf numFmtId="0" fontId="5" fillId="5" borderId="12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165" fontId="8" fillId="10" borderId="0" xfId="1" applyFont="1" applyFill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3" xfId="0" applyBorder="1"/>
    <xf numFmtId="167" fontId="8" fillId="0" borderId="19" xfId="0" applyNumberFormat="1" applyFont="1" applyBorder="1"/>
    <xf numFmtId="164" fontId="0" fillId="0" borderId="25" xfId="3" applyFont="1" applyBorder="1" applyAlignment="1"/>
    <xf numFmtId="165" fontId="0" fillId="0" borderId="41" xfId="1" applyFont="1" applyFill="1" applyBorder="1"/>
    <xf numFmtId="0" fontId="0" fillId="0" borderId="40" xfId="0" applyBorder="1" applyAlignment="1">
      <alignment horizontal="left"/>
    </xf>
    <xf numFmtId="49" fontId="0" fillId="0" borderId="40" xfId="0" applyNumberFormat="1" applyBorder="1"/>
    <xf numFmtId="165" fontId="0" fillId="3" borderId="13" xfId="1" applyFont="1" applyFill="1" applyBorder="1" applyProtection="1"/>
    <xf numFmtId="165" fontId="0" fillId="3" borderId="1" xfId="1" applyFont="1" applyFill="1" applyBorder="1" applyProtection="1"/>
    <xf numFmtId="165" fontId="0" fillId="5" borderId="1" xfId="1" applyFont="1" applyFill="1" applyBorder="1" applyProtection="1"/>
    <xf numFmtId="165" fontId="0" fillId="14" borderId="1" xfId="1" applyFont="1" applyFill="1" applyBorder="1" applyProtection="1"/>
    <xf numFmtId="165" fontId="0" fillId="7" borderId="13" xfId="1" applyFont="1" applyFill="1" applyBorder="1" applyProtection="1"/>
    <xf numFmtId="165" fontId="0" fillId="7" borderId="1" xfId="1" applyFont="1" applyFill="1" applyBorder="1" applyProtection="1"/>
    <xf numFmtId="167" fontId="0" fillId="0" borderId="41" xfId="0" applyNumberFormat="1" applyBorder="1" applyAlignment="1">
      <alignment horizontal="center" wrapText="1"/>
    </xf>
    <xf numFmtId="0" fontId="0" fillId="0" borderId="13" xfId="0" applyBorder="1" applyAlignment="1" applyProtection="1">
      <alignment wrapText="1"/>
      <protection locked="0"/>
    </xf>
    <xf numFmtId="0" fontId="5" fillId="10" borderId="2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8" borderId="0" xfId="0" applyFill="1" applyAlignment="1">
      <alignment wrapText="1"/>
    </xf>
    <xf numFmtId="0" fontId="0" fillId="0" borderId="55" xfId="0" applyBorder="1"/>
    <xf numFmtId="167" fontId="0" fillId="0" borderId="53" xfId="0" applyNumberFormat="1" applyBorder="1" applyAlignment="1">
      <alignment horizontal="center"/>
    </xf>
    <xf numFmtId="167" fontId="0" fillId="0" borderId="37" xfId="0" applyNumberForma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wrapText="1"/>
    </xf>
    <xf numFmtId="170" fontId="0" fillId="0" borderId="0" xfId="0" applyNumberFormat="1" applyAlignment="1">
      <alignment horizontal="center"/>
    </xf>
    <xf numFmtId="14" fontId="0" fillId="0" borderId="0" xfId="0" applyNumberFormat="1"/>
    <xf numFmtId="0" fontId="8" fillId="0" borderId="24" xfId="0" applyFont="1" applyBorder="1" applyAlignment="1" applyProtection="1">
      <alignment horizontal="center"/>
      <protection locked="0"/>
    </xf>
    <xf numFmtId="0" fontId="12" fillId="4" borderId="0" xfId="0" applyFont="1" applyFill="1" applyAlignment="1">
      <alignment horizontal="right"/>
    </xf>
    <xf numFmtId="0" fontId="12" fillId="4" borderId="0" xfId="0" applyFont="1" applyFill="1" applyAlignment="1">
      <alignment horizontal="left"/>
    </xf>
    <xf numFmtId="0" fontId="12" fillId="4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54" xfId="0" applyBorder="1" applyAlignment="1">
      <alignment horizontal="left" wrapText="1"/>
    </xf>
    <xf numFmtId="167" fontId="0" fillId="0" borderId="57" xfId="0" applyNumberFormat="1" applyBorder="1" applyAlignment="1">
      <alignment horizontal="center" wrapText="1"/>
    </xf>
    <xf numFmtId="3" fontId="0" fillId="4" borderId="0" xfId="0" applyNumberFormat="1" applyFill="1"/>
    <xf numFmtId="165" fontId="0" fillId="0" borderId="37" xfId="1" applyFont="1" applyBorder="1"/>
    <xf numFmtId="0" fontId="5" fillId="4" borderId="0" xfId="0" applyFont="1" applyFill="1"/>
    <xf numFmtId="4" fontId="5" fillId="4" borderId="0" xfId="0" applyNumberFormat="1" applyFont="1" applyFill="1"/>
    <xf numFmtId="171" fontId="5" fillId="4" borderId="0" xfId="0" applyNumberFormat="1" applyFont="1" applyFill="1"/>
    <xf numFmtId="168" fontId="5" fillId="4" borderId="0" xfId="0" applyNumberFormat="1" applyFont="1" applyFill="1"/>
    <xf numFmtId="165" fontId="5" fillId="4" borderId="0" xfId="1" applyFont="1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165" fontId="0" fillId="4" borderId="0" xfId="1" applyFont="1" applyFill="1" applyAlignment="1" applyProtection="1"/>
    <xf numFmtId="44" fontId="0" fillId="4" borderId="0" xfId="0" applyNumberFormat="1" applyFill="1"/>
    <xf numFmtId="0" fontId="5" fillId="4" borderId="0" xfId="0" applyFont="1" applyFill="1" applyAlignment="1">
      <alignment vertical="center"/>
    </xf>
    <xf numFmtId="164" fontId="0" fillId="4" borderId="0" xfId="0" applyNumberFormat="1" applyFill="1"/>
    <xf numFmtId="9" fontId="0" fillId="4" borderId="0" xfId="0" applyNumberFormat="1" applyFill="1"/>
    <xf numFmtId="2" fontId="0" fillId="4" borderId="0" xfId="0" applyNumberFormat="1" applyFill="1"/>
    <xf numFmtId="164" fontId="0" fillId="4" borderId="0" xfId="3" applyFont="1" applyFill="1"/>
    <xf numFmtId="0" fontId="0" fillId="4" borderId="1" xfId="0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8" fillId="4" borderId="0" xfId="0" applyFont="1" applyFill="1"/>
    <xf numFmtId="167" fontId="8" fillId="4" borderId="0" xfId="0" applyNumberFormat="1" applyFont="1" applyFill="1"/>
    <xf numFmtId="167" fontId="5" fillId="4" borderId="0" xfId="0" applyNumberFormat="1" applyFont="1" applyFill="1"/>
    <xf numFmtId="164" fontId="0" fillId="4" borderId="41" xfId="3" applyFont="1" applyFill="1" applyBorder="1" applyAlignment="1"/>
    <xf numFmtId="0" fontId="10" fillId="4" borderId="0" xfId="0" applyFont="1" applyFill="1"/>
    <xf numFmtId="171" fontId="0" fillId="4" borderId="0" xfId="0" applyNumberFormat="1" applyFill="1"/>
    <xf numFmtId="165" fontId="0" fillId="4" borderId="0" xfId="1" applyFont="1" applyFill="1" applyBorder="1"/>
    <xf numFmtId="0" fontId="0" fillId="4" borderId="17" xfId="0" applyFill="1" applyBorder="1"/>
    <xf numFmtId="171" fontId="7" fillId="8" borderId="0" xfId="3" applyNumberFormat="1" applyFont="1" applyFill="1" applyBorder="1" applyAlignment="1" applyProtection="1">
      <alignment vertical="center"/>
    </xf>
    <xf numFmtId="171" fontId="7" fillId="14" borderId="1" xfId="3" applyNumberFormat="1" applyFont="1" applyFill="1" applyBorder="1" applyAlignment="1" applyProtection="1">
      <alignment vertical="center"/>
    </xf>
    <xf numFmtId="171" fontId="7" fillId="8" borderId="12" xfId="3" applyNumberFormat="1" applyFont="1" applyFill="1" applyBorder="1" applyAlignment="1" applyProtection="1">
      <alignment vertical="center"/>
    </xf>
    <xf numFmtId="0" fontId="0" fillId="0" borderId="0" xfId="0" applyAlignment="1">
      <alignment wrapText="1"/>
    </xf>
    <xf numFmtId="170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41" xfId="0" applyBorder="1" applyAlignment="1">
      <alignment horizontal="left" wrapText="1"/>
    </xf>
    <xf numFmtId="49" fontId="0" fillId="0" borderId="41" xfId="0" applyNumberFormat="1" applyBorder="1" applyAlignment="1">
      <alignment horizontal="left" wrapText="1"/>
    </xf>
    <xf numFmtId="0" fontId="5" fillId="0" borderId="41" xfId="0" applyFont="1" applyBorder="1" applyAlignment="1">
      <alignment horizontal="left" wrapText="1"/>
    </xf>
    <xf numFmtId="0" fontId="0" fillId="0" borderId="41" xfId="0" applyBorder="1" applyAlignment="1">
      <alignment horizontal="left"/>
    </xf>
    <xf numFmtId="49" fontId="5" fillId="0" borderId="41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vertical="center"/>
    </xf>
    <xf numFmtId="0" fontId="20" fillId="8" borderId="10" xfId="0" applyFont="1" applyFill="1" applyBorder="1" applyAlignment="1">
      <alignment horizontal="left" vertical="center"/>
    </xf>
    <xf numFmtId="0" fontId="20" fillId="8" borderId="0" xfId="0" applyFont="1" applyFill="1" applyAlignment="1">
      <alignment horizontal="left" vertical="center"/>
    </xf>
    <xf numFmtId="0" fontId="20" fillId="8" borderId="18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168" fontId="8" fillId="0" borderId="2" xfId="3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left" vertical="center"/>
    </xf>
    <xf numFmtId="0" fontId="20" fillId="8" borderId="0" xfId="0" applyFont="1" applyFill="1" applyAlignment="1">
      <alignment horizontal="left"/>
    </xf>
    <xf numFmtId="0" fontId="20" fillId="8" borderId="0" xfId="0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20" fillId="15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3" fontId="8" fillId="0" borderId="1" xfId="0" applyNumberFormat="1" applyFont="1" applyBorder="1" applyAlignment="1" applyProtection="1">
      <alignment vertical="center"/>
      <protection locked="0"/>
    </xf>
    <xf numFmtId="3" fontId="8" fillId="0" borderId="1" xfId="0" applyNumberFormat="1" applyFont="1" applyBorder="1" applyAlignment="1" applyProtection="1">
      <alignment horizontal="right" vertical="center"/>
      <protection locked="0"/>
    </xf>
    <xf numFmtId="171" fontId="0" fillId="0" borderId="6" xfId="3" applyNumberFormat="1" applyFont="1" applyFill="1" applyBorder="1" applyAlignment="1" applyProtection="1">
      <alignment horizontal="center" vertical="center"/>
    </xf>
    <xf numFmtId="165" fontId="0" fillId="4" borderId="0" xfId="0" applyNumberFormat="1" applyFill="1"/>
    <xf numFmtId="0" fontId="5" fillId="5" borderId="11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5" fillId="5" borderId="13" xfId="0" applyFont="1" applyFill="1" applyBorder="1" applyAlignment="1">
      <alignment horizontal="left"/>
    </xf>
    <xf numFmtId="3" fontId="8" fillId="0" borderId="11" xfId="0" applyNumberFormat="1" applyFont="1" applyBorder="1" applyAlignment="1" applyProtection="1">
      <alignment horizontal="right"/>
      <protection locked="0"/>
    </xf>
    <xf numFmtId="3" fontId="8" fillId="0" borderId="13" xfId="0" applyNumberFormat="1" applyFont="1" applyBorder="1" applyAlignment="1" applyProtection="1">
      <alignment horizontal="right"/>
      <protection locked="0"/>
    </xf>
    <xf numFmtId="0" fontId="21" fillId="8" borderId="0" xfId="2" applyFont="1" applyFill="1" applyAlignment="1" applyProtection="1">
      <alignment horizontal="left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171" fontId="7" fillId="5" borderId="1" xfId="3" applyNumberFormat="1" applyFont="1" applyFill="1" applyBorder="1" applyAlignment="1" applyProtection="1">
      <alignment horizontal="left" vertical="center"/>
    </xf>
    <xf numFmtId="171" fontId="7" fillId="8" borderId="0" xfId="3" applyNumberFormat="1" applyFont="1" applyFill="1" applyBorder="1" applyAlignment="1" applyProtection="1">
      <alignment horizontal="left" vertical="center"/>
    </xf>
    <xf numFmtId="171" fontId="7" fillId="3" borderId="1" xfId="3" applyNumberFormat="1" applyFont="1" applyFill="1" applyBorder="1" applyAlignment="1" applyProtection="1">
      <alignment horizontal="left" vertical="center"/>
    </xf>
    <xf numFmtId="171" fontId="7" fillId="2" borderId="22" xfId="3" applyNumberFormat="1" applyFont="1" applyFill="1" applyBorder="1" applyAlignment="1" applyProtection="1">
      <alignment horizontal="center" vertical="center"/>
    </xf>
    <xf numFmtId="171" fontId="7" fillId="2" borderId="24" xfId="3" applyNumberFormat="1" applyFont="1" applyFill="1" applyBorder="1" applyAlignment="1" applyProtection="1">
      <alignment horizontal="center" vertical="center"/>
    </xf>
    <xf numFmtId="171" fontId="5" fillId="0" borderId="19" xfId="3" applyNumberFormat="1" applyFont="1" applyFill="1" applyBorder="1" applyAlignment="1" applyProtection="1">
      <alignment horizontal="center" vertical="center"/>
    </xf>
    <xf numFmtId="171" fontId="7" fillId="14" borderId="1" xfId="3" applyNumberFormat="1" applyFont="1" applyFill="1" applyBorder="1" applyAlignment="1" applyProtection="1">
      <alignment horizontal="left" vertical="center"/>
    </xf>
    <xf numFmtId="171" fontId="5" fillId="0" borderId="1" xfId="3" applyNumberFormat="1" applyFont="1" applyFill="1" applyBorder="1" applyAlignment="1" applyProtection="1">
      <alignment horizontal="center" vertical="center"/>
    </xf>
    <xf numFmtId="171" fontId="5" fillId="0" borderId="2" xfId="3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14" borderId="19" xfId="0" applyFont="1" applyFill="1" applyBorder="1" applyAlignment="1">
      <alignment horizontal="left" vertical="center"/>
    </xf>
    <xf numFmtId="171" fontId="7" fillId="3" borderId="19" xfId="3" applyNumberFormat="1" applyFont="1" applyFill="1" applyBorder="1" applyAlignment="1" applyProtection="1">
      <alignment horizontal="left" vertical="center"/>
    </xf>
    <xf numFmtId="171" fontId="7" fillId="7" borderId="1" xfId="3" applyNumberFormat="1" applyFont="1" applyFill="1" applyBorder="1" applyAlignment="1" applyProtection="1">
      <alignment horizontal="left" vertical="center"/>
    </xf>
    <xf numFmtId="171" fontId="7" fillId="7" borderId="11" xfId="3" applyNumberFormat="1" applyFont="1" applyFill="1" applyBorder="1" applyAlignment="1" applyProtection="1">
      <alignment horizontal="left" vertical="center"/>
    </xf>
    <xf numFmtId="171" fontId="7" fillId="7" borderId="22" xfId="3" applyNumberFormat="1" applyFont="1" applyFill="1" applyBorder="1" applyAlignment="1" applyProtection="1">
      <alignment horizontal="left" vertical="center"/>
    </xf>
    <xf numFmtId="171" fontId="7" fillId="7" borderId="24" xfId="3" applyNumberFormat="1" applyFont="1" applyFill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/>
    </xf>
    <xf numFmtId="171" fontId="8" fillId="0" borderId="19" xfId="3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left"/>
    </xf>
    <xf numFmtId="171" fontId="8" fillId="0" borderId="2" xfId="3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171" fontId="8" fillId="0" borderId="1" xfId="3" applyNumberFormat="1" applyFont="1" applyFill="1" applyBorder="1" applyAlignment="1" applyProtection="1">
      <alignment horizontal="center" vertical="center"/>
      <protection locked="0"/>
    </xf>
    <xf numFmtId="10" fontId="5" fillId="0" borderId="16" xfId="0" applyNumberFormat="1" applyFont="1" applyBorder="1" applyAlignment="1">
      <alignment horizontal="center" vertical="center"/>
    </xf>
    <xf numFmtId="10" fontId="5" fillId="0" borderId="1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171" fontId="7" fillId="2" borderId="29" xfId="3" applyNumberFormat="1" applyFont="1" applyFill="1" applyBorder="1" applyAlignment="1" applyProtection="1">
      <alignment horizontal="center" vertical="center"/>
    </xf>
    <xf numFmtId="171" fontId="7" fillId="2" borderId="28" xfId="3" applyNumberFormat="1" applyFont="1" applyFill="1" applyBorder="1" applyAlignment="1" applyProtection="1">
      <alignment horizontal="center" vertical="center"/>
    </xf>
    <xf numFmtId="171" fontId="5" fillId="6" borderId="38" xfId="3" applyNumberFormat="1" applyFont="1" applyFill="1" applyBorder="1" applyAlignment="1" applyProtection="1">
      <alignment horizontal="center" vertical="center"/>
    </xf>
    <xf numFmtId="4" fontId="8" fillId="0" borderId="1" xfId="3" applyNumberFormat="1" applyFont="1" applyFill="1" applyBorder="1" applyAlignment="1" applyProtection="1">
      <alignment horizontal="center" vertical="center"/>
      <protection locked="0"/>
    </xf>
    <xf numFmtId="4" fontId="8" fillId="0" borderId="19" xfId="3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10" fontId="5" fillId="0" borderId="38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71" fontId="5" fillId="0" borderId="38" xfId="3" applyNumberFormat="1" applyFont="1" applyFill="1" applyBorder="1" applyAlignment="1" applyProtection="1">
      <alignment horizontal="center" vertical="center"/>
    </xf>
    <xf numFmtId="4" fontId="5" fillId="0" borderId="1" xfId="3" applyNumberFormat="1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8" fillId="0" borderId="12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left"/>
      <protection locked="0"/>
    </xf>
    <xf numFmtId="165" fontId="8" fillId="0" borderId="11" xfId="1" applyFont="1" applyFill="1" applyBorder="1" applyAlignment="1" applyProtection="1">
      <alignment horizontal="center" vertical="center"/>
      <protection locked="0"/>
    </xf>
    <xf numFmtId="165" fontId="8" fillId="0" borderId="12" xfId="1" applyFont="1" applyFill="1" applyBorder="1" applyAlignment="1" applyProtection="1">
      <alignment horizontal="center" vertical="center"/>
      <protection locked="0"/>
    </xf>
    <xf numFmtId="165" fontId="8" fillId="0" borderId="13" xfId="1" applyFont="1" applyFill="1" applyBorder="1" applyAlignment="1" applyProtection="1">
      <alignment horizontal="center" vertical="center"/>
      <protection locked="0"/>
    </xf>
    <xf numFmtId="0" fontId="5" fillId="8" borderId="0" xfId="0" applyFont="1" applyFill="1" applyAlignment="1">
      <alignment horizontal="left"/>
    </xf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/>
    <xf numFmtId="0" fontId="8" fillId="8" borderId="12" xfId="0" applyFont="1" applyFill="1" applyBorder="1" applyAlignment="1">
      <alignment horizontal="center"/>
    </xf>
    <xf numFmtId="0" fontId="5" fillId="8" borderId="0" xfId="0" applyFont="1" applyFill="1"/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49" fontId="5" fillId="5" borderId="11" xfId="0" applyNumberFormat="1" applyFont="1" applyFill="1" applyBorder="1" applyAlignment="1">
      <alignment horizontal="left"/>
    </xf>
    <xf numFmtId="49" fontId="5" fillId="5" borderId="12" xfId="0" applyNumberFormat="1" applyFont="1" applyFill="1" applyBorder="1" applyAlignment="1">
      <alignment horizontal="left"/>
    </xf>
    <xf numFmtId="49" fontId="5" fillId="5" borderId="13" xfId="0" applyNumberFormat="1" applyFont="1" applyFill="1" applyBorder="1" applyAlignment="1">
      <alignment horizontal="left"/>
    </xf>
    <xf numFmtId="49" fontId="5" fillId="5" borderId="11" xfId="0" applyNumberFormat="1" applyFont="1" applyFill="1" applyBorder="1" applyAlignment="1">
      <alignment horizontal="left" wrapText="1"/>
    </xf>
    <xf numFmtId="49" fontId="5" fillId="5" borderId="12" xfId="0" applyNumberFormat="1" applyFont="1" applyFill="1" applyBorder="1" applyAlignment="1">
      <alignment horizontal="left" wrapText="1"/>
    </xf>
    <xf numFmtId="49" fontId="5" fillId="5" borderId="13" xfId="0" applyNumberFormat="1" applyFont="1" applyFill="1" applyBorder="1" applyAlignment="1">
      <alignment horizontal="left" wrapText="1"/>
    </xf>
    <xf numFmtId="0" fontId="5" fillId="5" borderId="11" xfId="0" applyFont="1" applyFill="1" applyBorder="1" applyAlignment="1">
      <alignment horizontal="left" wrapText="1"/>
    </xf>
    <xf numFmtId="0" fontId="5" fillId="5" borderId="13" xfId="0" applyFont="1" applyFill="1" applyBorder="1" applyAlignment="1">
      <alignment horizontal="left" wrapText="1"/>
    </xf>
    <xf numFmtId="49" fontId="8" fillId="0" borderId="11" xfId="0" applyNumberFormat="1" applyFont="1" applyBorder="1" applyAlignment="1" applyProtection="1">
      <alignment horizontal="left"/>
      <protection locked="0"/>
    </xf>
    <xf numFmtId="49" fontId="8" fillId="0" borderId="12" xfId="0" applyNumberFormat="1" applyFont="1" applyBorder="1" applyAlignment="1" applyProtection="1">
      <alignment horizontal="left"/>
      <protection locked="0"/>
    </xf>
    <xf numFmtId="49" fontId="8" fillId="0" borderId="13" xfId="0" applyNumberFormat="1" applyFont="1" applyBorder="1" applyAlignment="1" applyProtection="1">
      <alignment horizontal="left"/>
      <protection locked="0"/>
    </xf>
    <xf numFmtId="49" fontId="8" fillId="0" borderId="11" xfId="0" applyNumberFormat="1" applyFont="1" applyBorder="1" applyAlignment="1" applyProtection="1">
      <alignment horizontal="left" wrapText="1"/>
      <protection locked="0"/>
    </xf>
    <xf numFmtId="49" fontId="8" fillId="0" borderId="12" xfId="0" applyNumberFormat="1" applyFont="1" applyBorder="1" applyAlignment="1" applyProtection="1">
      <alignment horizontal="left" wrapText="1"/>
      <protection locked="0"/>
    </xf>
    <xf numFmtId="49" fontId="8" fillId="0" borderId="13" xfId="0" applyNumberFormat="1" applyFont="1" applyBorder="1" applyAlignment="1" applyProtection="1">
      <alignment horizontal="left" wrapText="1"/>
      <protection locked="0"/>
    </xf>
    <xf numFmtId="0" fontId="8" fillId="0" borderId="11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>
      <alignment horizontal="center" vertical="center"/>
    </xf>
    <xf numFmtId="10" fontId="5" fillId="0" borderId="11" xfId="0" applyNumberFormat="1" applyFont="1" applyBorder="1" applyAlignment="1">
      <alignment horizontal="center" vertical="center"/>
    </xf>
    <xf numFmtId="10" fontId="5" fillId="0" borderId="1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170" fontId="8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" fontId="5" fillId="0" borderId="19" xfId="3" applyNumberFormat="1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 applyProtection="1">
      <alignment horizontal="left"/>
      <protection locked="0"/>
    </xf>
    <xf numFmtId="0" fontId="5" fillId="4" borderId="12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69" fontId="5" fillId="0" borderId="1" xfId="3" applyNumberFormat="1" applyFont="1" applyBorder="1" applyAlignment="1" applyProtection="1">
      <alignment horizontal="left"/>
      <protection locked="0"/>
    </xf>
    <xf numFmtId="172" fontId="8" fillId="0" borderId="1" xfId="3" applyNumberFormat="1" applyFont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left" vertical="top" wrapText="1"/>
    </xf>
    <xf numFmtId="165" fontId="5" fillId="0" borderId="11" xfId="1" applyFont="1" applyBorder="1" applyAlignment="1" applyProtection="1">
      <alignment horizontal="center"/>
    </xf>
    <xf numFmtId="165" fontId="5" fillId="0" borderId="12" xfId="1" applyFont="1" applyBorder="1" applyAlignment="1" applyProtection="1">
      <alignment horizontal="center"/>
    </xf>
    <xf numFmtId="165" fontId="5" fillId="0" borderId="13" xfId="1" applyFont="1" applyBorder="1" applyAlignment="1" applyProtection="1">
      <alignment horizontal="center"/>
    </xf>
    <xf numFmtId="165" fontId="5" fillId="0" borderId="1" xfId="0" applyNumberFormat="1" applyFont="1" applyBorder="1" applyAlignment="1">
      <alignment horizontal="left"/>
    </xf>
    <xf numFmtId="172" fontId="8" fillId="0" borderId="1" xfId="0" applyNumberFormat="1" applyFont="1" applyBorder="1" applyAlignment="1" applyProtection="1">
      <alignment horizontal="right"/>
      <protection locked="0"/>
    </xf>
    <xf numFmtId="0" fontId="7" fillId="5" borderId="19" xfId="0" applyFont="1" applyFill="1" applyBorder="1" applyAlignment="1">
      <alignment horizontal="left"/>
    </xf>
    <xf numFmtId="165" fontId="5" fillId="0" borderId="1" xfId="1" applyFont="1" applyBorder="1" applyAlignment="1" applyProtection="1">
      <alignment horizontal="left"/>
    </xf>
    <xf numFmtId="0" fontId="5" fillId="5" borderId="20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165" fontId="8" fillId="0" borderId="11" xfId="1" applyFont="1" applyFill="1" applyBorder="1" applyAlignment="1" applyProtection="1">
      <alignment horizontal="center"/>
      <protection locked="0"/>
    </xf>
    <xf numFmtId="165" fontId="8" fillId="0" borderId="12" xfId="1" applyFont="1" applyFill="1" applyBorder="1" applyAlignment="1" applyProtection="1">
      <alignment horizontal="center"/>
      <protection locked="0"/>
    </xf>
    <xf numFmtId="165" fontId="8" fillId="0" borderId="13" xfId="1" applyFont="1" applyFill="1" applyBorder="1" applyAlignment="1" applyProtection="1">
      <alignment horizontal="center"/>
      <protection locked="0"/>
    </xf>
    <xf numFmtId="169" fontId="8" fillId="5" borderId="1" xfId="3" applyNumberFormat="1" applyFont="1" applyFill="1" applyBorder="1" applyAlignment="1" applyProtection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165" fontId="8" fillId="0" borderId="1" xfId="1" applyFont="1" applyBorder="1" applyAlignment="1" applyProtection="1">
      <alignment horizontal="center"/>
      <protection locked="0"/>
    </xf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0" fontId="5" fillId="5" borderId="16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right"/>
    </xf>
    <xf numFmtId="0" fontId="5" fillId="5" borderId="12" xfId="0" applyFont="1" applyFill="1" applyBorder="1" applyAlignment="1">
      <alignment horizontal="right"/>
    </xf>
    <xf numFmtId="0" fontId="5" fillId="5" borderId="13" xfId="0" applyFont="1" applyFill="1" applyBorder="1" applyAlignment="1">
      <alignment horizontal="right"/>
    </xf>
    <xf numFmtId="4" fontId="8" fillId="0" borderId="11" xfId="0" applyNumberFormat="1" applyFont="1" applyBorder="1" applyAlignment="1" applyProtection="1">
      <alignment horizontal="right"/>
      <protection locked="0"/>
    </xf>
    <xf numFmtId="4" fontId="8" fillId="0" borderId="13" xfId="0" applyNumberFormat="1" applyFont="1" applyBorder="1" applyAlignment="1" applyProtection="1">
      <alignment horizontal="right"/>
      <protection locked="0"/>
    </xf>
    <xf numFmtId="0" fontId="0" fillId="4" borderId="0" xfId="0" applyFill="1" applyAlignment="1">
      <alignment horizontal="center" wrapText="1"/>
    </xf>
    <xf numFmtId="0" fontId="0" fillId="5" borderId="40" xfId="0" applyFill="1" applyBorder="1" applyAlignment="1">
      <alignment horizontal="center" wrapText="1"/>
    </xf>
    <xf numFmtId="0" fontId="0" fillId="5" borderId="41" xfId="0" applyFill="1" applyBorder="1" applyAlignment="1">
      <alignment horizontal="center" wrapText="1"/>
    </xf>
    <xf numFmtId="0" fontId="0" fillId="11" borderId="0" xfId="0" applyFill="1" applyAlignment="1">
      <alignment horizontal="center"/>
    </xf>
    <xf numFmtId="0" fontId="2" fillId="12" borderId="49" xfId="0" applyFont="1" applyFill="1" applyBorder="1" applyAlignment="1">
      <alignment horizontal="center" wrapText="1"/>
    </xf>
    <xf numFmtId="0" fontId="2" fillId="12" borderId="39" xfId="0" applyFont="1" applyFill="1" applyBorder="1" applyAlignment="1">
      <alignment horizontal="center" wrapText="1"/>
    </xf>
    <xf numFmtId="0" fontId="0" fillId="8" borderId="21" xfId="0" applyFill="1" applyBorder="1" applyAlignment="1">
      <alignment horizontal="center"/>
    </xf>
    <xf numFmtId="0" fontId="0" fillId="5" borderId="50" xfId="0" applyFill="1" applyBorder="1" applyAlignment="1">
      <alignment horizontal="center" wrapText="1"/>
    </xf>
    <xf numFmtId="0" fontId="0" fillId="5" borderId="42" xfId="0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8" fillId="0" borderId="42" xfId="0" applyFont="1" applyBorder="1" applyAlignment="1" applyProtection="1">
      <alignment horizontal="center"/>
      <protection locked="0"/>
    </xf>
    <xf numFmtId="165" fontId="0" fillId="5" borderId="1" xfId="0" applyNumberFormat="1" applyFill="1" applyBorder="1" applyAlignment="1">
      <alignment horizontal="center"/>
    </xf>
    <xf numFmtId="165" fontId="0" fillId="5" borderId="11" xfId="0" applyNumberFormat="1" applyFill="1" applyBorder="1" applyAlignment="1">
      <alignment horizontal="center"/>
    </xf>
    <xf numFmtId="165" fontId="0" fillId="0" borderId="1" xfId="1" applyFont="1" applyBorder="1" applyAlignment="1">
      <alignment horizontal="center"/>
    </xf>
    <xf numFmtId="165" fontId="0" fillId="0" borderId="11" xfId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6" fillId="4" borderId="17" xfId="2" applyFill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center"/>
      <protection locked="0"/>
    </xf>
    <xf numFmtId="167" fontId="8" fillId="0" borderId="11" xfId="0" applyNumberFormat="1" applyFont="1" applyBorder="1" applyAlignment="1" applyProtection="1">
      <alignment horizontal="center"/>
      <protection locked="0"/>
    </xf>
    <xf numFmtId="167" fontId="8" fillId="0" borderId="42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65" fontId="9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9" borderId="49" xfId="0" applyFill="1" applyBorder="1" applyAlignment="1">
      <alignment horizontal="center"/>
    </xf>
    <xf numFmtId="0" fontId="0" fillId="9" borderId="38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13" borderId="31" xfId="0" applyFill="1" applyBorder="1" applyAlignment="1">
      <alignment horizontal="center"/>
    </xf>
    <xf numFmtId="0" fontId="0" fillId="13" borderId="32" xfId="0" applyFill="1" applyBorder="1" applyAlignment="1">
      <alignment horizontal="center"/>
    </xf>
    <xf numFmtId="0" fontId="0" fillId="13" borderId="55" xfId="0" applyFill="1" applyBorder="1" applyAlignment="1">
      <alignment horizontal="center"/>
    </xf>
    <xf numFmtId="0" fontId="0" fillId="13" borderId="56" xfId="0" applyFill="1" applyBorder="1" applyAlignment="1">
      <alignment horizontal="center"/>
    </xf>
    <xf numFmtId="0" fontId="0" fillId="13" borderId="33" xfId="0" applyFill="1" applyBorder="1" applyAlignment="1">
      <alignment horizontal="center"/>
    </xf>
    <xf numFmtId="0" fontId="0" fillId="13" borderId="3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10" borderId="0" xfId="0" applyFont="1" applyFill="1" applyAlignment="1">
      <alignment horizontal="center"/>
    </xf>
    <xf numFmtId="0" fontId="0" fillId="0" borderId="5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42" xfId="1" applyFont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165" fontId="0" fillId="0" borderId="12" xfId="1" applyFont="1" applyBorder="1" applyAlignment="1">
      <alignment horizontal="center"/>
    </xf>
    <xf numFmtId="166" fontId="9" fillId="0" borderId="1" xfId="1" applyNumberFormat="1" applyFont="1" applyBorder="1" applyAlignment="1">
      <alignment horizontal="center"/>
    </xf>
    <xf numFmtId="0" fontId="0" fillId="0" borderId="4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9" borderId="48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65" fontId="0" fillId="0" borderId="25" xfId="1" applyFont="1" applyBorder="1" applyAlignment="1">
      <alignment horizontal="center"/>
    </xf>
    <xf numFmtId="165" fontId="0" fillId="0" borderId="46" xfId="1" applyFont="1" applyBorder="1" applyAlignment="1">
      <alignment horizontal="center"/>
    </xf>
    <xf numFmtId="44" fontId="5" fillId="0" borderId="25" xfId="0" applyNumberFormat="1" applyFont="1" applyBorder="1" applyAlignment="1">
      <alignment horizontal="center"/>
    </xf>
    <xf numFmtId="44" fontId="5" fillId="0" borderId="46" xfId="0" applyNumberFormat="1" applyFont="1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10" fontId="0" fillId="0" borderId="44" xfId="0" applyNumberFormat="1" applyBorder="1" applyAlignment="1">
      <alignment horizontal="center" vertical="center"/>
    </xf>
    <xf numFmtId="10" fontId="0" fillId="0" borderId="47" xfId="0" applyNumberForma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10" fontId="0" fillId="0" borderId="3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2" fillId="8" borderId="0" xfId="0" applyFont="1" applyFill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8" borderId="2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8" borderId="0" xfId="0" applyFont="1" applyFill="1" applyAlignment="1">
      <alignment horizontal="center"/>
    </xf>
    <xf numFmtId="0" fontId="5" fillId="0" borderId="11" xfId="0" applyFont="1" applyBorder="1" applyAlignment="1">
      <alignment horizontal="left"/>
    </xf>
    <xf numFmtId="49" fontId="5" fillId="0" borderId="12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3" fontId="8" fillId="0" borderId="1" xfId="0" applyNumberFormat="1" applyFont="1" applyBorder="1" applyAlignment="1" applyProtection="1">
      <alignment horizontal="right"/>
      <protection locked="0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167" fontId="8" fillId="0" borderId="13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167" fontId="8" fillId="0" borderId="1" xfId="0" applyNumberFormat="1" applyFont="1" applyBorder="1" applyAlignment="1" applyProtection="1">
      <alignment horizontal="center"/>
      <protection locked="0"/>
    </xf>
    <xf numFmtId="0" fontId="0" fillId="0" borderId="41" xfId="0" applyBorder="1" applyAlignment="1">
      <alignment horizontal="center"/>
    </xf>
    <xf numFmtId="165" fontId="0" fillId="0" borderId="41" xfId="1" applyFon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0" fontId="0" fillId="0" borderId="51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167" fontId="5" fillId="0" borderId="19" xfId="0" applyNumberFormat="1" applyFont="1" applyBorder="1" applyAlignment="1">
      <alignment horizontal="center"/>
    </xf>
    <xf numFmtId="167" fontId="8" fillId="13" borderId="31" xfId="0" applyNumberFormat="1" applyFont="1" applyFill="1" applyBorder="1" applyAlignment="1">
      <alignment horizontal="center"/>
    </xf>
    <xf numFmtId="167" fontId="8" fillId="13" borderId="21" xfId="0" applyNumberFormat="1" applyFont="1" applyFill="1" applyBorder="1" applyAlignment="1">
      <alignment horizontal="center"/>
    </xf>
    <xf numFmtId="167" fontId="8" fillId="13" borderId="32" xfId="0" applyNumberFormat="1" applyFont="1" applyFill="1" applyBorder="1" applyAlignment="1">
      <alignment horizontal="center"/>
    </xf>
    <xf numFmtId="167" fontId="8" fillId="13" borderId="55" xfId="0" applyNumberFormat="1" applyFont="1" applyFill="1" applyBorder="1" applyAlignment="1">
      <alignment horizontal="center"/>
    </xf>
    <xf numFmtId="167" fontId="8" fillId="13" borderId="0" xfId="0" applyNumberFormat="1" applyFont="1" applyFill="1" applyAlignment="1">
      <alignment horizontal="center"/>
    </xf>
    <xf numFmtId="167" fontId="8" fillId="13" borderId="56" xfId="0" applyNumberFormat="1" applyFont="1" applyFill="1" applyBorder="1" applyAlignment="1">
      <alignment horizontal="center"/>
    </xf>
    <xf numFmtId="167" fontId="8" fillId="13" borderId="33" xfId="0" applyNumberFormat="1" applyFont="1" applyFill="1" applyBorder="1" applyAlignment="1">
      <alignment horizontal="center"/>
    </xf>
    <xf numFmtId="167" fontId="8" fillId="13" borderId="17" xfId="0" applyNumberFormat="1" applyFont="1" applyFill="1" applyBorder="1" applyAlignment="1">
      <alignment horizontal="center"/>
    </xf>
    <xf numFmtId="167" fontId="8" fillId="13" borderId="34" xfId="0" applyNumberFormat="1" applyFont="1" applyFill="1" applyBorder="1" applyAlignment="1">
      <alignment horizontal="center"/>
    </xf>
    <xf numFmtId="165" fontId="0" fillId="5" borderId="41" xfId="0" applyNumberFormat="1" applyFill="1" applyBorder="1" applyAlignment="1">
      <alignment horizontal="center"/>
    </xf>
    <xf numFmtId="0" fontId="0" fillId="8" borderId="21" xfId="0" applyFill="1" applyBorder="1" applyAlignment="1">
      <alignment horizontal="center" vertical="center"/>
    </xf>
    <xf numFmtId="0" fontId="21" fillId="15" borderId="0" xfId="2" applyFont="1" applyFill="1" applyAlignment="1" applyProtection="1">
      <alignment horizontal="left" vertical="center"/>
      <protection locked="0"/>
    </xf>
    <xf numFmtId="0" fontId="7" fillId="2" borderId="44" xfId="0" applyFont="1" applyFill="1" applyBorder="1" applyAlignment="1">
      <alignment horizontal="left" vertical="center"/>
    </xf>
    <xf numFmtId="0" fontId="7" fillId="2" borderId="43" xfId="0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left" vertical="center"/>
    </xf>
    <xf numFmtId="0" fontId="5" fillId="8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7" fontId="8" fillId="0" borderId="12" xfId="0" applyNumberFormat="1" applyFont="1" applyBorder="1" applyAlignment="1" applyProtection="1">
      <alignment horizontal="center"/>
      <protection locked="0"/>
    </xf>
    <xf numFmtId="0" fontId="0" fillId="0" borderId="4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9" fontId="0" fillId="0" borderId="1" xfId="4" applyFont="1" applyBorder="1" applyAlignment="1">
      <alignment horizontal="center"/>
    </xf>
    <xf numFmtId="9" fontId="0" fillId="0" borderId="41" xfId="4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165" fontId="0" fillId="0" borderId="36" xfId="1" applyFont="1" applyBorder="1" applyAlignment="1">
      <alignment horizontal="center"/>
    </xf>
    <xf numFmtId="165" fontId="0" fillId="0" borderId="37" xfId="1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10" borderId="31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32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56" xfId="0" applyFill="1" applyBorder="1" applyAlignment="1">
      <alignment horizontal="center"/>
    </xf>
    <xf numFmtId="0" fontId="0" fillId="10" borderId="33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34" xfId="0" applyFill="1" applyBorder="1" applyAlignment="1">
      <alignment horizontal="center"/>
    </xf>
    <xf numFmtId="0" fontId="0" fillId="0" borderId="37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4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7" fontId="0" fillId="0" borderId="41" xfId="0" applyNumberFormat="1" applyBorder="1" applyAlignment="1">
      <alignment horizontal="center"/>
    </xf>
    <xf numFmtId="167" fontId="5" fillId="0" borderId="36" xfId="0" applyNumberFormat="1" applyFont="1" applyBorder="1" applyAlignment="1">
      <alignment horizontal="center"/>
    </xf>
    <xf numFmtId="167" fontId="5" fillId="0" borderId="37" xfId="0" applyNumberFormat="1" applyFont="1" applyBorder="1" applyAlignment="1">
      <alignment horizontal="center"/>
    </xf>
    <xf numFmtId="167" fontId="8" fillId="0" borderId="41" xfId="0" applyNumberFormat="1" applyFont="1" applyBorder="1" applyAlignment="1" applyProtection="1">
      <alignment horizontal="center"/>
      <protection locked="0"/>
    </xf>
    <xf numFmtId="0" fontId="0" fillId="0" borderId="47" xfId="0" applyBorder="1" applyAlignment="1">
      <alignment horizontal="center"/>
    </xf>
    <xf numFmtId="0" fontId="8" fillId="0" borderId="41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vertical="center"/>
    </xf>
    <xf numFmtId="165" fontId="0" fillId="4" borderId="0" xfId="1" applyFont="1" applyFill="1" applyAlignment="1" applyProtection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8" borderId="0" xfId="0" applyFill="1" applyAlignment="1">
      <alignment horizontal="center"/>
    </xf>
    <xf numFmtId="10" fontId="0" fillId="0" borderId="16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</cellXfs>
  <cellStyles count="5">
    <cellStyle name="Komma" xfId="3" builtinId="3"/>
    <cellStyle name="Link" xfId="2" builtinId="8"/>
    <cellStyle name="Normal" xfId="0" builtinId="0"/>
    <cellStyle name="Procent" xfId="4" builtinId="5"/>
    <cellStyle name="Valuta" xfId="1" builtinId="4"/>
  </cellStyles>
  <dxfs count="151"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color rgb="FFFF0000"/>
      </font>
    </dxf>
    <dxf>
      <font>
        <strike val="0"/>
        <color rgb="FFFF0000"/>
      </font>
      <border>
        <vertical/>
        <horizontal/>
      </border>
    </dxf>
    <dxf>
      <numFmt numFmtId="173" formatCode="&quot;Der kan maksimalt godkendes 15%&quot;"/>
    </dxf>
    <dxf>
      <numFmt numFmtId="173" formatCode="&quot;Der kan maksimalt godkendes 15%&quot;"/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solid"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auto="1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 patternType="solid"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 patternType="lightTrellis"/>
      </fill>
    </dxf>
    <dxf>
      <font>
        <color theme="1"/>
      </font>
      <fill>
        <patternFill>
          <bgColor rgb="FF00B050"/>
        </patternFill>
      </fill>
    </dxf>
    <dxf>
      <fill>
        <patternFill patternType="lightUp"/>
      </fill>
    </dxf>
    <dxf>
      <fill>
        <patternFill patternType="lightUp"/>
      </fill>
    </dxf>
    <dxf>
      <font>
        <color rgb="FFFF0000"/>
      </font>
    </dxf>
    <dxf>
      <font>
        <strike val="0"/>
        <color rgb="FFFF0000"/>
      </font>
      <border>
        <vertical/>
        <horizontal/>
      </border>
    </dxf>
    <dxf>
      <numFmt numFmtId="173" formatCode="&quot;Der kan maksimalt godkendes 15%&quot;"/>
    </dxf>
    <dxf>
      <numFmt numFmtId="173" formatCode="&quot;Der kan maksimalt godkendes 15%&quot;"/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theme="0"/>
        </patternFill>
      </fill>
    </dxf>
    <dxf>
      <fill>
        <patternFill patternType="solid"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auto="1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 patternType="solid"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 patternType="lightTrellis"/>
      </fill>
    </dxf>
    <dxf>
      <font>
        <color theme="1"/>
      </font>
      <fill>
        <patternFill>
          <bgColor rgb="FF00B050"/>
        </patternFill>
      </fill>
    </dxf>
    <dxf>
      <fill>
        <patternFill patternType="lightUp"/>
      </fill>
    </dxf>
    <dxf>
      <fill>
        <patternFill patternType="lightUp"/>
      </fill>
    </dxf>
    <dxf>
      <font>
        <color rgb="FFFF0000"/>
      </font>
    </dxf>
    <dxf>
      <font>
        <strike val="0"/>
        <color rgb="FFFF0000"/>
      </font>
      <border>
        <vertical/>
        <horizontal/>
      </border>
    </dxf>
    <dxf>
      <numFmt numFmtId="173" formatCode="&quot;Der kan maksimalt godkendes 15%&quot;"/>
    </dxf>
    <dxf>
      <numFmt numFmtId="173" formatCode="&quot;Der kan maksimalt godkendes 15%&quot;"/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theme="0"/>
        </patternFill>
      </fill>
    </dxf>
    <dxf>
      <fill>
        <patternFill patternType="solid"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auto="1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70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indent="0" justifyLastLine="0" shrinkToFit="0" readingOrder="0"/>
    </dxf>
  </dxfs>
  <tableStyles count="0" defaultTableStyle="TableStyleMedium9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4</xdr:col>
          <xdr:colOff>0</xdr:colOff>
          <xdr:row>3</xdr:row>
          <xdr:rowOff>0</xdr:rowOff>
        </xdr:to>
        <xdr:sp macro="" textlink="">
          <xdr:nvSpPr>
            <xdr:cNvPr id="62466" name="Button 2" descr="Hent Data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1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a-DK" sz="800" b="1" i="0" u="none" strike="noStrike" baseline="0">
                  <a:solidFill>
                    <a:srgbClr val="000000"/>
                  </a:solidFill>
                  <a:latin typeface="KBH"/>
                </a:rPr>
                <a:t>Hent data fra tidligere ark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17</xdr:col>
          <xdr:colOff>0</xdr:colOff>
          <xdr:row>9</xdr:row>
          <xdr:rowOff>0</xdr:rowOff>
        </xdr:to>
        <xdr:sp macro="" textlink="">
          <xdr:nvSpPr>
            <xdr:cNvPr id="6168" name="Group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2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190500</xdr:colOff>
          <xdr:row>38</xdr:row>
          <xdr:rowOff>123825</xdr:rowOff>
        </xdr:from>
        <xdr:to>
          <xdr:col>9</xdr:col>
          <xdr:colOff>1076325</xdr:colOff>
          <xdr:row>41</xdr:row>
          <xdr:rowOff>9525</xdr:rowOff>
        </xdr:to>
        <xdr:sp macro="" textlink="">
          <xdr:nvSpPr>
            <xdr:cNvPr id="31747" name="Button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3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a-DK" sz="14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Print tilsagn med bilag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17</xdr:col>
          <xdr:colOff>0</xdr:colOff>
          <xdr:row>9</xdr:row>
          <xdr:rowOff>0</xdr:rowOff>
        </xdr:to>
        <xdr:sp macro="" textlink="">
          <xdr:nvSpPr>
            <xdr:cNvPr id="9224" name="Group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5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17</xdr:col>
          <xdr:colOff>0</xdr:colOff>
          <xdr:row>9</xdr:row>
          <xdr:rowOff>0</xdr:rowOff>
        </xdr:to>
        <xdr:sp macro="" textlink="">
          <xdr:nvSpPr>
            <xdr:cNvPr id="9259" name="Group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5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400050</xdr:colOff>
          <xdr:row>46</xdr:row>
          <xdr:rowOff>161925</xdr:rowOff>
        </xdr:from>
        <xdr:to>
          <xdr:col>8</xdr:col>
          <xdr:colOff>581025</xdr:colOff>
          <xdr:row>49</xdr:row>
          <xdr:rowOff>19050</xdr:rowOff>
        </xdr:to>
        <xdr:sp macro="" textlink="">
          <xdr:nvSpPr>
            <xdr:cNvPr id="58369" name="Button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6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a-D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Print licitation med bilag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17</xdr:col>
          <xdr:colOff>0</xdr:colOff>
          <xdr:row>9</xdr:row>
          <xdr:rowOff>0</xdr:rowOff>
        </xdr:to>
        <xdr:sp macro="" textlink="">
          <xdr:nvSpPr>
            <xdr:cNvPr id="25606" name="Group Box 6" hidden="1">
              <a:extLst>
                <a:ext uri="{63B3BB69-23CF-44E3-9099-C40C66FF867C}">
                  <a14:compatExt spid="_x0000_s25606"/>
                </a:ext>
                <a:ext uri="{FF2B5EF4-FFF2-40B4-BE49-F238E27FC236}">
                  <a16:creationId xmlns:a16="http://schemas.microsoft.com/office/drawing/2014/main" id="{00000000-0008-0000-0800-00000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17</xdr:col>
          <xdr:colOff>0</xdr:colOff>
          <xdr:row>9</xdr:row>
          <xdr:rowOff>0</xdr:rowOff>
        </xdr:to>
        <xdr:sp macro="" textlink="">
          <xdr:nvSpPr>
            <xdr:cNvPr id="25638" name="Group Box 38" hidden="1">
              <a:extLst>
                <a:ext uri="{63B3BB69-23CF-44E3-9099-C40C66FF867C}">
                  <a14:compatExt spid="_x0000_s25638"/>
                </a:ext>
                <a:ext uri="{FF2B5EF4-FFF2-40B4-BE49-F238E27FC236}">
                  <a16:creationId xmlns:a16="http://schemas.microsoft.com/office/drawing/2014/main" id="{00000000-0008-0000-0800-00002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17</xdr:col>
          <xdr:colOff>0</xdr:colOff>
          <xdr:row>9</xdr:row>
          <xdr:rowOff>0</xdr:rowOff>
        </xdr:to>
        <xdr:sp macro="" textlink="">
          <xdr:nvSpPr>
            <xdr:cNvPr id="25639" name="Group Box 39" hidden="1">
              <a:extLst>
                <a:ext uri="{63B3BB69-23CF-44E3-9099-C40C66FF867C}">
                  <a14:compatExt spid="_x0000_s25639"/>
                </a:ext>
                <a:ext uri="{FF2B5EF4-FFF2-40B4-BE49-F238E27FC236}">
                  <a16:creationId xmlns:a16="http://schemas.microsoft.com/office/drawing/2014/main" id="{00000000-0008-0000-0800-00002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876300</xdr:colOff>
          <xdr:row>46</xdr:row>
          <xdr:rowOff>152400</xdr:rowOff>
        </xdr:from>
        <xdr:to>
          <xdr:col>7</xdr:col>
          <xdr:colOff>342900</xdr:colOff>
          <xdr:row>49</xdr:row>
          <xdr:rowOff>76200</xdr:rowOff>
        </xdr:to>
        <xdr:sp macro="" textlink="">
          <xdr:nvSpPr>
            <xdr:cNvPr id="49154" name="Button 2" hidden="1">
              <a:extLst>
                <a:ext uri="{63B3BB69-23CF-44E3-9099-C40C66FF867C}">
                  <a14:compatExt spid="_x0000_s49154"/>
                </a:ext>
                <a:ext uri="{FF2B5EF4-FFF2-40B4-BE49-F238E27FC236}">
                  <a16:creationId xmlns:a16="http://schemas.microsoft.com/office/drawing/2014/main" id="{00000000-0008-0000-0900-00000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a-DK" sz="1100" b="1" i="1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Print regnskab og bilag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E2C30E-B402-416D-96D2-2F3F1198C90F}" name="Versionsstyring" displayName="Versionsstyring" ref="A4:D37" totalsRowShown="0" headerRowDxfId="150" dataDxfId="149">
  <autoFilter ref="A4:D37" xr:uid="{E5D90564-D1E3-4E80-90A3-20B85091623E}">
    <filterColumn colId="0" hiddenButton="1"/>
    <filterColumn colId="1" hiddenButton="1"/>
    <filterColumn colId="2" hiddenButton="1"/>
    <filterColumn colId="3" hiddenButton="1"/>
  </autoFilter>
  <tableColumns count="4">
    <tableColumn id="1" xr3:uid="{39FCDD84-31DB-45B5-8949-3359BFDE15FD}" name="Versionsændring" dataDxfId="148"/>
    <tableColumn id="2" xr3:uid="{6FDDD70D-3266-4895-AF9E-5CCDBCEB4227}" name="Beskrivelse" dataDxfId="147"/>
    <tableColumn id="3" xr3:uid="{0EE23E77-AA76-43B3-A8EA-DB80E34D8632}" name="Udført af" dataDxfId="146"/>
    <tableColumn id="4" xr3:uid="{74671955-C04F-4121-9C32-18FA87CCD428}" name="Dato" dataDxfId="145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55D61A-4CE4-4DFA-BC09-6AB38BB05D1F}" name="Lovbekendtgørelser" displayName="Lovbekendtgørelser" ref="F4:H7" totalsRowShown="0" dataDxfId="144">
  <autoFilter ref="F4:H7" xr:uid="{A2369E4D-DB02-4319-A45C-161D1EF3742A}">
    <filterColumn colId="0" hiddenButton="1"/>
    <filterColumn colId="1" hiddenButton="1"/>
    <filterColumn colId="2" hiddenButton="1"/>
  </autoFilter>
  <sortState xmlns:xlrd2="http://schemas.microsoft.com/office/spreadsheetml/2017/richdata2" ref="F5:H7">
    <sortCondition descending="1" ref="F4:F7"/>
  </sortState>
  <tableColumns count="3">
    <tableColumn id="1" xr3:uid="{6DCD8EE8-ADDB-42D7-8F65-72A9E1505287}" name="Dato" dataDxfId="143"/>
    <tableColumn id="2" xr3:uid="{A30F2701-08F4-47DB-8BC9-BE638B412914}" name="Nummer" dataDxfId="142"/>
    <tableColumn id="3" xr3:uid="{E8483CDA-8EDC-4932-B9CD-25599AC6E07D}" name="Tekst" dataDxfId="141">
      <calculatedColumnFormula>"Lovbekendtgørelse "&amp;Lovbekendtgørelser[[#This Row],[Nummer]]&amp;" af "&amp;TEXT(F5,"d. MMMM åååå")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999280-2121-4BC9-BA5A-4E516E3472F4}" name="Støttemodeller" displayName="Støttemodeller" ref="J4:N10" totalsRowShown="0" headerRowDxfId="140" dataDxfId="139">
  <autoFilter ref="J4:N10" xr:uid="{A1374DB8-E458-4E6F-93F0-D8882FB3A4F8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J5:N10">
    <sortCondition descending="1" ref="J4:J8"/>
  </sortState>
  <tableColumns count="5">
    <tableColumn id="1" xr3:uid="{14986C76-9703-40E4-ADAE-1BEFF2B92500}" name="Støttemodel" dataDxfId="138"/>
    <tableColumn id="3" xr3:uid="{17329E3F-9CD9-4EB3-A2F4-C299E4419D5D}" name="Støttebeskrivelse" dataDxfId="137"/>
    <tableColumn id="2" xr3:uid="{B0A7E679-4487-4C60-A28C-4742B2D9C583}" name="Tilsagn" dataDxfId="136"/>
    <tableColumn id="4" xr3:uid="{7C89C0B8-63A7-4923-8E26-DF1868C1FCF5}" name="Licitation" dataDxfId="135">
      <calculatedColumnFormula>_xlfn.LET(
_xlpm.SAVE,Ændringer!G47,
_xlpm.Boliger,Licitation!K38,
_xlpm.Demonstrationsprojekt,Ændringer!J45,
_xlpm.Installationsmangler,Licitation!I12*75000,
_xlpm.Maksstøtte,_xlpm.Boliger*IF(_xlpm.Demonstrationsprojekt="Ja",150000,IF(_xlpm.SAVE&lt;5,125000,100000)),
_xlpm.Støtteandel,Licitation!L52/IF(OR(_xlpm.SAVE&lt;5,_xlpm.Demonstrationsprojekt="Ja"),2,3),
_xlpm.Tilsagn,Støttemodeller[[#This Row],[Tilsagn]],
MIN(MIN(_xlpm.Støtteandel,_xlpm.Tilsagn)+_xlpm.Installationsmangler,Licitation!L52*75%)
)</calculatedColumnFormula>
    </tableColumn>
    <tableColumn id="5" xr3:uid="{C85D3D56-CF2A-448B-AAE8-414D82A2F8D8}" name="Regnskab" dataDxfId="134">
      <calculatedColumnFormula>_xlfn.LET(
_xlpm.SAVE,Ændringer!G47,
_xlpm.Boliger,Regnskab!K38,
_xlpm.Demonstrationsprojekt,Ændringer!J45,
_xlpm.Installationsmangler,Regnskab!I12*75000,
_xlpm.Maksstøtte,_xlpm.Boliger*IF(_xlpm.Demonstrationsprojekt="Ja",150000,IF(_xlpm.SAVE&lt;5,125000,100000)),
_xlpm.Støtteandel,Regnskab!L52/IF(OR(_xlpm.SAVE&lt;5,_xlpm.Demonstrationsprojekt="Ja"),2,3),
_xlpm.Tilsagn,Støttemodeller[[#This Row],[Tilsagn]],
MIN(MIN(_xlpm.Støtteandel,_xlpm.Tilsagn)+_xlpm.Installationsmangler,Regnskab!L52*75%)
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dst.dk/da/Statistik/emner/priser-og-forbrug/omkostningsindeks/byggeomkostningsindeks-for-boliger" TargetMode="External"/><Relationship Id="rId6" Type="http://schemas.openxmlformats.org/officeDocument/2006/relationships/comments" Target="../comments5.xml"/><Relationship Id="rId5" Type="http://schemas.openxmlformats.org/officeDocument/2006/relationships/ctrlProp" Target="../ctrlProps/ctrlProp10.xml"/><Relationship Id="rId4" Type="http://schemas.openxmlformats.org/officeDocument/2006/relationships/vmlDrawing" Target="../drawings/vmlDrawing7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dst.dk/da/Statistik/emner/priser-og-forbrug/omkostningsindeks/byggeomkostningsindeks-for-boliger" TargetMode="External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dst.dk/da/Statistik/emner/priser-og-forbrug/omkostningsindeks/byggeomkostningsindeks-for-boliger" TargetMode="External"/><Relationship Id="rId6" Type="http://schemas.openxmlformats.org/officeDocument/2006/relationships/comments" Target="../comments2.xml"/><Relationship Id="rId5" Type="http://schemas.openxmlformats.org/officeDocument/2006/relationships/ctrlProp" Target="../ctrlProps/ctrlProp3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dst.dk/da/Statistik/emner/priser-og-forbrug/omkostningsindeks/byggeomkostningsindeks-for-boliger" TargetMode="Externa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dst.dk/da/Statistik/emner/priser-og-forbrug/omkostningsindeks/byggeomkostningsindeks-for-boliger" TargetMode="External"/><Relationship Id="rId5" Type="http://schemas.openxmlformats.org/officeDocument/2006/relationships/ctrlProp" Target="../ctrlProps/ctrlProp6.xml"/><Relationship Id="rId4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drawing" Target="../drawings/drawing6.xml"/><Relationship Id="rId7" Type="http://schemas.openxmlformats.org/officeDocument/2006/relationships/ctrlProp" Target="../ctrlProps/ctrlProp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dst.dk/da/Statistik/emner/priser-og-forbrug/omkostningsindeks/byggeomkostningsindeks-for-boliger" TargetMode="Externa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tabColor theme="2" tint="-0.499984740745262"/>
  </sheetPr>
  <dimension ref="A1:J38"/>
  <sheetViews>
    <sheetView workbookViewId="0">
      <selection activeCell="I27" sqref="I27"/>
    </sheetView>
  </sheetViews>
  <sheetFormatPr defaultColWidth="9.140625" defaultRowHeight="15" x14ac:dyDescent="0.25"/>
  <cols>
    <col min="1" max="1" width="1.42578125" style="153" customWidth="1"/>
    <col min="2" max="3" width="30.7109375" style="154" customWidth="1"/>
    <col min="4" max="4" width="1.28515625" style="153" customWidth="1"/>
    <col min="5" max="5" width="30.7109375" style="154" customWidth="1"/>
    <col min="6" max="6" width="30.7109375" style="153" customWidth="1"/>
    <col min="7" max="7" width="1.42578125" style="153" customWidth="1"/>
    <col min="8" max="8" width="30.7109375" style="154" customWidth="1"/>
    <col min="9" max="9" width="30.7109375" style="153" customWidth="1"/>
    <col min="10" max="10" width="1.42578125" style="153" customWidth="1"/>
    <col min="11" max="16384" width="9.140625" style="153"/>
  </cols>
  <sheetData>
    <row r="1" spans="1:10" ht="7.5" customHeight="1" thickBot="1" x14ac:dyDescent="0.3">
      <c r="A1" s="372"/>
      <c r="B1" s="372"/>
      <c r="C1" s="372"/>
      <c r="D1" s="372"/>
      <c r="E1" s="372"/>
      <c r="F1" s="372"/>
      <c r="G1" s="372"/>
      <c r="H1" s="372"/>
      <c r="I1" s="372"/>
      <c r="J1" s="372"/>
    </row>
    <row r="2" spans="1:10" ht="15" customHeight="1" x14ac:dyDescent="0.25">
      <c r="A2" s="45"/>
      <c r="B2" s="373" t="s">
        <v>0</v>
      </c>
      <c r="C2" s="374"/>
      <c r="D2" s="45"/>
      <c r="E2" s="373" t="s">
        <v>1</v>
      </c>
      <c r="F2" s="374"/>
      <c r="G2" s="45"/>
      <c r="H2" s="373" t="s">
        <v>2</v>
      </c>
      <c r="I2" s="374"/>
      <c r="J2" s="45"/>
    </row>
    <row r="3" spans="1:10" x14ac:dyDescent="0.25">
      <c r="A3" s="45"/>
      <c r="B3" s="136" t="s">
        <v>3</v>
      </c>
      <c r="C3" s="202" t="str">
        <f>Ansøgning!E5</f>
        <v>Vejnavn(e)</v>
      </c>
      <c r="D3" s="45"/>
      <c r="E3" s="136" t="s">
        <v>3</v>
      </c>
      <c r="F3" s="204" t="str">
        <f>Ansøgning!E5</f>
        <v>Vejnavn(e)</v>
      </c>
      <c r="G3" s="45"/>
      <c r="H3" s="137" t="s">
        <v>3</v>
      </c>
      <c r="I3" s="200" t="str">
        <f>'Regnskab - Ansøger'!E5</f>
        <v>Vejnavn(e)</v>
      </c>
      <c r="J3" s="45"/>
    </row>
    <row r="4" spans="1:10" x14ac:dyDescent="0.25">
      <c r="A4" s="45"/>
      <c r="B4" s="69" t="s">
        <v>4</v>
      </c>
      <c r="C4" s="202" t="str">
        <f>Ansøgning!E6</f>
        <v>Nummer / numre</v>
      </c>
      <c r="D4" s="45"/>
      <c r="E4" s="69" t="s">
        <v>4</v>
      </c>
      <c r="F4" s="204" t="str">
        <f>Ansøgning!E6</f>
        <v>Nummer / numre</v>
      </c>
      <c r="G4" s="45"/>
      <c r="H4" s="110" t="s">
        <v>4</v>
      </c>
      <c r="I4" s="203" t="str">
        <f>'Regnskab - Ansøger'!E6</f>
        <v>Nummer / numre</v>
      </c>
      <c r="J4" s="45"/>
    </row>
    <row r="5" spans="1:10" x14ac:dyDescent="0.25">
      <c r="A5" s="45"/>
      <c r="B5" s="69" t="s">
        <v>5</v>
      </c>
      <c r="C5" s="201" t="str">
        <f>Ansøgning!K6</f>
        <v>Bogstav(er)</v>
      </c>
      <c r="D5" s="45"/>
      <c r="E5" s="69" t="s">
        <v>5</v>
      </c>
      <c r="F5" s="201" t="str">
        <f>Ansøgning!K6</f>
        <v>Bogstav(er)</v>
      </c>
      <c r="G5" s="45"/>
      <c r="H5" s="110" t="s">
        <v>5</v>
      </c>
      <c r="I5" s="203" t="str">
        <f>'Regnskab - Ansøger'!K6</f>
        <v>Bogstav(er)</v>
      </c>
      <c r="J5" s="45"/>
    </row>
    <row r="6" spans="1:10" x14ac:dyDescent="0.25">
      <c r="A6" s="45"/>
      <c r="B6" s="69" t="s">
        <v>6</v>
      </c>
      <c r="C6" s="200" t="str">
        <f>Ændringer!G45</f>
        <v>Matr. nr.</v>
      </c>
      <c r="D6" s="45"/>
      <c r="E6" s="69" t="s">
        <v>6</v>
      </c>
      <c r="F6" s="200" t="str">
        <f>Ændringer!G45</f>
        <v>Matr. nr.</v>
      </c>
      <c r="G6" s="45"/>
      <c r="H6" s="110" t="s">
        <v>6</v>
      </c>
      <c r="I6" s="203" t="str">
        <f>Ændringer!G45</f>
        <v>Matr. nr.</v>
      </c>
      <c r="J6" s="45"/>
    </row>
    <row r="7" spans="1:10" x14ac:dyDescent="0.25">
      <c r="A7" s="45"/>
      <c r="B7" s="69" t="s">
        <v>7</v>
      </c>
      <c r="C7" s="200" t="str">
        <f>Ændringer!G43</f>
        <v>Indsæt dato</v>
      </c>
      <c r="D7" s="45"/>
      <c r="E7" s="69" t="s">
        <v>8</v>
      </c>
      <c r="F7" s="203" t="str">
        <f>'Ændringer 1'!H41</f>
        <v>Indsæt dato</v>
      </c>
      <c r="G7" s="45"/>
      <c r="H7" s="110" t="s">
        <v>9</v>
      </c>
      <c r="I7" s="203" t="str">
        <f>'Ændringer 2'!H41</f>
        <v xml:space="preserve">Indsæt dato </v>
      </c>
      <c r="J7" s="45"/>
    </row>
    <row r="8" spans="1:10" x14ac:dyDescent="0.25">
      <c r="A8" s="45"/>
      <c r="B8" s="69" t="s">
        <v>10</v>
      </c>
      <c r="C8" s="200" t="str">
        <f>IF(Ansøgning!F15="Ja","Kapitel 3","Kapitel 4")</f>
        <v>Kapitel 4</v>
      </c>
      <c r="D8" s="45"/>
      <c r="E8" s="69" t="s">
        <v>11</v>
      </c>
      <c r="F8" s="203" t="str">
        <f>'Ændringer 1'!H42</f>
        <v>Indsæt dato</v>
      </c>
      <c r="G8" s="45"/>
      <c r="H8" s="110" t="s">
        <v>12</v>
      </c>
      <c r="I8" s="203" t="str">
        <f>'Ændringer 2'!H42</f>
        <v xml:space="preserve">Indsæt dato </v>
      </c>
      <c r="J8" s="45"/>
    </row>
    <row r="9" spans="1:10" x14ac:dyDescent="0.25">
      <c r="A9" s="45"/>
      <c r="B9" s="69" t="s">
        <v>13</v>
      </c>
      <c r="C9" s="200" t="str">
        <f>SUBSTITUTE(Ændringer!G44,"Lovbekendtgørelse","LBK")</f>
        <v>Indsæt ref lov</v>
      </c>
      <c r="D9" s="45"/>
      <c r="E9" s="69" t="s">
        <v>14</v>
      </c>
      <c r="F9" s="203" t="str">
        <f>C9</f>
        <v>Indsæt ref lov</v>
      </c>
      <c r="G9" s="45"/>
      <c r="H9" s="110" t="s">
        <v>14</v>
      </c>
      <c r="I9" s="203" t="str">
        <f>C9</f>
        <v>Indsæt ref lov</v>
      </c>
      <c r="J9" s="45"/>
    </row>
    <row r="10" spans="1:10" x14ac:dyDescent="0.25">
      <c r="A10" s="45"/>
      <c r="B10" s="69" t="s">
        <v>15</v>
      </c>
      <c r="C10" s="200" t="str">
        <f>Ændringer!G41</f>
        <v>Navn på projektleder</v>
      </c>
      <c r="D10" s="45"/>
      <c r="E10" s="69" t="s">
        <v>15</v>
      </c>
      <c r="F10" s="203" t="str">
        <f>'Ændringer 1'!H40</f>
        <v>Indsæt navn</v>
      </c>
      <c r="G10" s="45"/>
      <c r="H10" s="110" t="s">
        <v>15</v>
      </c>
      <c r="I10" s="203" t="str">
        <f>'Ændringer 2'!H40</f>
        <v>Indsæt navn på projektleder</v>
      </c>
      <c r="J10" s="45"/>
    </row>
    <row r="11" spans="1:10" x14ac:dyDescent="0.25">
      <c r="A11" s="45"/>
      <c r="B11" s="69" t="s">
        <v>16</v>
      </c>
      <c r="C11" s="200" t="str">
        <f>Ændringer!G39</f>
        <v>Indsæt projektnr.</v>
      </c>
      <c r="D11" s="45"/>
      <c r="E11" s="69" t="s">
        <v>17</v>
      </c>
      <c r="F11" s="203" t="str">
        <f>'Ændringer 1'!H39</f>
        <v>Indsæt sags nr.</v>
      </c>
      <c r="G11" s="45"/>
      <c r="H11" s="69" t="s">
        <v>17</v>
      </c>
      <c r="I11" s="203" t="str">
        <f>'Ændringer 2'!H39</f>
        <v>Indsæt sags nr.</v>
      </c>
      <c r="J11" s="45"/>
    </row>
    <row r="12" spans="1:10" x14ac:dyDescent="0.25">
      <c r="A12" s="45"/>
      <c r="B12" s="69" t="s">
        <v>17</v>
      </c>
      <c r="C12" s="200" t="str">
        <f>Ændringer!G40</f>
        <v>Indsæt sagsnr.</v>
      </c>
      <c r="D12" s="45"/>
      <c r="E12" s="69" t="s">
        <v>18</v>
      </c>
      <c r="F12" s="203" t="str">
        <f>C13</f>
        <v>SAVE</v>
      </c>
      <c r="G12" s="45"/>
      <c r="H12" s="110" t="s">
        <v>19</v>
      </c>
      <c r="I12" s="203" t="str">
        <f>C13</f>
        <v>SAVE</v>
      </c>
      <c r="J12" s="45"/>
    </row>
    <row r="13" spans="1:10" x14ac:dyDescent="0.25">
      <c r="A13" s="45"/>
      <c r="B13" s="69" t="s">
        <v>18</v>
      </c>
      <c r="C13" s="200" t="str">
        <f>Ændringer!G47</f>
        <v>SAVE</v>
      </c>
      <c r="D13" s="45"/>
      <c r="E13" s="370" t="s">
        <v>20</v>
      </c>
      <c r="F13" s="371"/>
      <c r="G13" s="45"/>
      <c r="H13" s="370" t="s">
        <v>20</v>
      </c>
      <c r="I13" s="371"/>
      <c r="J13" s="45"/>
    </row>
    <row r="14" spans="1:10" x14ac:dyDescent="0.25">
      <c r="A14" s="45"/>
      <c r="B14" s="69" t="s">
        <v>21</v>
      </c>
      <c r="C14" s="200" t="str">
        <f>Ændringer!J45</f>
        <v>Demoprojekt</v>
      </c>
      <c r="D14" s="45"/>
      <c r="E14" s="69" t="s">
        <v>22</v>
      </c>
      <c r="F14" s="107">
        <f>Licitation!J49</f>
        <v>0</v>
      </c>
      <c r="G14" s="45"/>
      <c r="H14" s="69" t="s">
        <v>22</v>
      </c>
      <c r="I14" s="107">
        <f>Regnskab!J49</f>
        <v>0</v>
      </c>
      <c r="J14" s="45"/>
    </row>
    <row r="15" spans="1:10" x14ac:dyDescent="0.25">
      <c r="A15" s="45"/>
      <c r="B15" s="370" t="s">
        <v>23</v>
      </c>
      <c r="C15" s="371"/>
      <c r="D15" s="45"/>
      <c r="E15" s="69" t="s">
        <v>24</v>
      </c>
      <c r="F15" s="107">
        <f>Licitation!K49</f>
        <v>0</v>
      </c>
      <c r="G15" s="45"/>
      <c r="H15" s="69" t="s">
        <v>24</v>
      </c>
      <c r="I15" s="107">
        <f>Regnskab!K49</f>
        <v>0</v>
      </c>
      <c r="J15" s="45"/>
    </row>
    <row r="16" spans="1:10" x14ac:dyDescent="0.25">
      <c r="A16" s="45"/>
      <c r="B16" s="69" t="s">
        <v>22</v>
      </c>
      <c r="C16" s="71">
        <f>Tilsagn!J49</f>
        <v>0</v>
      </c>
      <c r="D16" s="45"/>
      <c r="E16" s="69" t="s">
        <v>25</v>
      </c>
      <c r="F16" s="74">
        <f>Licitation!K22</f>
        <v>0</v>
      </c>
      <c r="G16" s="45"/>
      <c r="H16" s="69" t="s">
        <v>25</v>
      </c>
      <c r="I16" s="74">
        <f>Regnskab!K22</f>
        <v>0</v>
      </c>
      <c r="J16" s="45"/>
    </row>
    <row r="17" spans="1:10" x14ac:dyDescent="0.25">
      <c r="A17" s="45"/>
      <c r="B17" s="69" t="s">
        <v>24</v>
      </c>
      <c r="C17" s="71">
        <f>Tilsagn!K49</f>
        <v>0</v>
      </c>
      <c r="D17" s="45"/>
      <c r="E17" s="69" t="s">
        <v>26</v>
      </c>
      <c r="F17" s="107">
        <f>Licitation!L49</f>
        <v>0</v>
      </c>
      <c r="G17" s="45"/>
      <c r="H17" s="69" t="s">
        <v>26</v>
      </c>
      <c r="I17" s="107">
        <f>Regnskab!L49</f>
        <v>0</v>
      </c>
      <c r="J17" s="45"/>
    </row>
    <row r="18" spans="1:10" x14ac:dyDescent="0.25">
      <c r="A18" s="45"/>
      <c r="B18" s="69" t="s">
        <v>25</v>
      </c>
      <c r="C18" s="108">
        <f>Tilsagn!K22</f>
        <v>0</v>
      </c>
      <c r="D18" s="45"/>
      <c r="E18" s="69" t="s">
        <v>27</v>
      </c>
      <c r="F18" s="74">
        <f>Licitation!L22</f>
        <v>0</v>
      </c>
      <c r="G18" s="45"/>
      <c r="H18" s="69" t="s">
        <v>27</v>
      </c>
      <c r="I18" s="74">
        <f>Regnskab!L22</f>
        <v>0</v>
      </c>
      <c r="J18" s="45"/>
    </row>
    <row r="19" spans="1:10" x14ac:dyDescent="0.25">
      <c r="A19" s="45"/>
      <c r="B19" s="69" t="s">
        <v>26</v>
      </c>
      <c r="C19" s="73">
        <f>Tilsagn!L49</f>
        <v>0</v>
      </c>
      <c r="D19" s="45"/>
      <c r="E19" s="370" t="s">
        <v>28</v>
      </c>
      <c r="F19" s="371"/>
      <c r="G19" s="45"/>
      <c r="H19" s="370" t="s">
        <v>28</v>
      </c>
      <c r="I19" s="371"/>
      <c r="J19" s="45"/>
    </row>
    <row r="20" spans="1:10" x14ac:dyDescent="0.25">
      <c r="A20" s="45"/>
      <c r="B20" s="69" t="s">
        <v>27</v>
      </c>
      <c r="C20" s="108">
        <f>Tilsagn!L22</f>
        <v>0</v>
      </c>
      <c r="D20" s="45"/>
      <c r="E20" s="69" t="s">
        <v>29</v>
      </c>
      <c r="F20" s="107">
        <f>Licitation!M49</f>
        <v>0</v>
      </c>
      <c r="G20" s="45"/>
      <c r="H20" s="69" t="s">
        <v>29</v>
      </c>
      <c r="I20" s="107">
        <f>Regnskab!M49</f>
        <v>0</v>
      </c>
      <c r="J20" s="45"/>
    </row>
    <row r="21" spans="1:10" x14ac:dyDescent="0.25">
      <c r="A21" s="45"/>
      <c r="B21" s="376" t="s">
        <v>28</v>
      </c>
      <c r="C21" s="377"/>
      <c r="D21" s="45"/>
      <c r="E21" s="69" t="s">
        <v>30</v>
      </c>
      <c r="F21" s="74">
        <f>Licitation!M22</f>
        <v>0</v>
      </c>
      <c r="G21" s="45"/>
      <c r="H21" s="69" t="s">
        <v>30</v>
      </c>
      <c r="I21" s="74">
        <f>Regnskab!M22</f>
        <v>0</v>
      </c>
      <c r="J21" s="45"/>
    </row>
    <row r="22" spans="1:10" ht="15" customHeight="1" x14ac:dyDescent="0.25">
      <c r="A22" s="45"/>
      <c r="B22" s="69" t="s">
        <v>29</v>
      </c>
      <c r="C22" s="73">
        <f>Tilsagn!M49</f>
        <v>0</v>
      </c>
      <c r="D22" s="45"/>
      <c r="E22" s="370" t="s">
        <v>31</v>
      </c>
      <c r="F22" s="371"/>
      <c r="G22" s="45"/>
      <c r="H22" s="370" t="s">
        <v>31</v>
      </c>
      <c r="I22" s="371"/>
      <c r="J22" s="45"/>
    </row>
    <row r="23" spans="1:10" x14ac:dyDescent="0.25">
      <c r="A23" s="45"/>
      <c r="B23" s="69" t="s">
        <v>30</v>
      </c>
      <c r="C23" s="108">
        <f>Tilsagn!M22</f>
        <v>0</v>
      </c>
      <c r="D23" s="45"/>
      <c r="E23" s="69" t="s">
        <v>22</v>
      </c>
      <c r="F23" s="107">
        <f>Licitation!J52</f>
        <v>0</v>
      </c>
      <c r="G23" s="45"/>
      <c r="H23" s="69" t="s">
        <v>22</v>
      </c>
      <c r="I23" s="107">
        <f>Regnskab!J52</f>
        <v>0</v>
      </c>
      <c r="J23" s="45"/>
    </row>
    <row r="24" spans="1:10" x14ac:dyDescent="0.25">
      <c r="A24" s="45"/>
      <c r="B24" s="376" t="s">
        <v>31</v>
      </c>
      <c r="C24" s="377"/>
      <c r="D24" s="45"/>
      <c r="E24" s="69" t="s">
        <v>24</v>
      </c>
      <c r="F24" s="107">
        <f>Licitation!K52</f>
        <v>0</v>
      </c>
      <c r="G24" s="45"/>
      <c r="H24" s="69" t="s">
        <v>24</v>
      </c>
      <c r="I24" s="107">
        <f>Regnskab!K52</f>
        <v>0</v>
      </c>
      <c r="J24" s="45"/>
    </row>
    <row r="25" spans="1:10" x14ac:dyDescent="0.25">
      <c r="A25" s="45"/>
      <c r="B25" s="69" t="s">
        <v>22</v>
      </c>
      <c r="C25" s="71">
        <f>Tilsagn!J52</f>
        <v>0</v>
      </c>
      <c r="D25" s="45"/>
      <c r="E25" s="69" t="s">
        <v>26</v>
      </c>
      <c r="F25" s="107">
        <f>Licitation!L52</f>
        <v>0</v>
      </c>
      <c r="G25" s="45"/>
      <c r="H25" s="69" t="s">
        <v>26</v>
      </c>
      <c r="I25" s="107">
        <f>Regnskab!L52</f>
        <v>0</v>
      </c>
      <c r="J25" s="45"/>
    </row>
    <row r="26" spans="1:10" ht="15" customHeight="1" x14ac:dyDescent="0.25">
      <c r="A26" s="45"/>
      <c r="B26" s="69" t="s">
        <v>24</v>
      </c>
      <c r="C26" s="71">
        <f>Tilsagn!K52</f>
        <v>0</v>
      </c>
      <c r="D26" s="45"/>
      <c r="E26" s="370" t="s">
        <v>32</v>
      </c>
      <c r="F26" s="371"/>
      <c r="G26" s="45"/>
      <c r="H26" s="370" t="s">
        <v>33</v>
      </c>
      <c r="I26" s="371"/>
      <c r="J26" s="45"/>
    </row>
    <row r="27" spans="1:10" x14ac:dyDescent="0.25">
      <c r="A27" s="45"/>
      <c r="B27" s="69" t="s">
        <v>26</v>
      </c>
      <c r="C27" s="71">
        <f>Tilsagn!L52</f>
        <v>0</v>
      </c>
      <c r="D27" s="45"/>
      <c r="E27" s="69" t="s">
        <v>34</v>
      </c>
      <c r="F27" s="135" cm="1">
        <f t="array" ref="F27">IFERROR(VLOOKUP(Ændringer!J44,Støttemodeller[],COLUMN(Støttemodeller[Licitation])-COLUMN(Støttemodeller[Støttemodel])+1,0),0)</f>
        <v>0</v>
      </c>
      <c r="G27" s="45"/>
      <c r="H27" s="69" t="s">
        <v>34</v>
      </c>
      <c r="I27" s="135" cm="1">
        <f t="array" ref="I27">IFERROR(VLOOKUP(Ændringer!J44,Støttemodeller[],COLUMN(Støttemodeller[Regnskab])-COLUMN(Støttemodeller[Støttemodel])+1,0),0)</f>
        <v>0</v>
      </c>
      <c r="J27" s="45"/>
    </row>
    <row r="28" spans="1:10" x14ac:dyDescent="0.25">
      <c r="A28" s="45"/>
      <c r="B28" s="376" t="s">
        <v>32</v>
      </c>
      <c r="C28" s="377"/>
      <c r="D28" s="45"/>
      <c r="E28" s="69" t="s">
        <v>35</v>
      </c>
      <c r="F28" s="75" t="str">
        <f>'Ændringer 1'!I52</f>
        <v>Nej</v>
      </c>
      <c r="G28" s="45"/>
      <c r="H28" s="69" t="s">
        <v>36</v>
      </c>
      <c r="I28" s="107">
        <f>IF(Ændringer!J44&gt;2020,0,Regnskab!J52*1.5%)</f>
        <v>0</v>
      </c>
      <c r="J28" s="45"/>
    </row>
    <row r="29" spans="1:10" ht="15.75" thickBot="1" x14ac:dyDescent="0.3">
      <c r="A29" s="45"/>
      <c r="B29" s="69" t="s">
        <v>34</v>
      </c>
      <c r="C29" s="72" cm="1">
        <f t="array" ref="C29">IFERROR(VLOOKUP(Ændringer!J44,Støttemodeller[],COLUMN(Støttemodeller[Tilsagn])-COLUMN(Støttemodeller[Støttemodel])+1,0),0)</f>
        <v>0</v>
      </c>
      <c r="D29" s="45"/>
      <c r="E29" s="69" t="s">
        <v>37</v>
      </c>
      <c r="F29" s="107">
        <f>'Ændringer 1'!I53*'Ændringer 1'!I57+'Ændringer 1'!I54*'Ændringer 1'!I58</f>
        <v>0</v>
      </c>
      <c r="G29" s="45"/>
      <c r="H29" s="98" t="s">
        <v>38</v>
      </c>
      <c r="I29" s="165">
        <f>Regnskab!M50+'Licitation - Ansøger'!H26+('Fakta ark'!I25-'Fakta ark'!I27)</f>
        <v>0</v>
      </c>
      <c r="J29" s="45"/>
    </row>
    <row r="30" spans="1:10" x14ac:dyDescent="0.25">
      <c r="A30" s="45"/>
      <c r="B30" s="69" t="s">
        <v>35</v>
      </c>
      <c r="C30" s="68" t="str">
        <f>Ændringer!I51</f>
        <v>Nej</v>
      </c>
      <c r="D30" s="45"/>
      <c r="E30" s="69" t="s">
        <v>36</v>
      </c>
      <c r="F30" s="107">
        <f>IF(Ændringer!J44&gt;2020,0,Licitation!J52*1.5%)</f>
        <v>0</v>
      </c>
      <c r="G30" s="45"/>
      <c r="H30" s="45"/>
      <c r="I30" s="45"/>
      <c r="J30" s="45"/>
    </row>
    <row r="31" spans="1:10" x14ac:dyDescent="0.25">
      <c r="A31" s="45"/>
      <c r="B31" s="69" t="s">
        <v>37</v>
      </c>
      <c r="C31" s="71">
        <f>Ændringer!I52*Ændringer!I56+Ændringer!I53*Ændringer!I57</f>
        <v>0</v>
      </c>
      <c r="D31" s="45"/>
      <c r="E31" s="370" t="s">
        <v>39</v>
      </c>
      <c r="F31" s="371"/>
      <c r="G31" s="45"/>
      <c r="H31" s="149"/>
      <c r="I31" s="45"/>
      <c r="J31" s="45"/>
    </row>
    <row r="32" spans="1:10" x14ac:dyDescent="0.25">
      <c r="A32" s="45"/>
      <c r="B32" s="69" t="s">
        <v>36</v>
      </c>
      <c r="C32" s="71">
        <f>IF(Ændringer!J44&gt;2020,0,Tilsagn!J52*1.5%)</f>
        <v>0</v>
      </c>
      <c r="D32" s="45"/>
      <c r="E32" s="115" t="s">
        <v>40</v>
      </c>
      <c r="F32" s="151" t="str">
        <f>'Ændringer 1'!H45</f>
        <v>Indsæt dato</v>
      </c>
      <c r="G32" s="45"/>
      <c r="H32" s="149"/>
      <c r="I32" s="45"/>
      <c r="J32" s="45"/>
    </row>
    <row r="33" spans="1:10" ht="15.75" thickBot="1" x14ac:dyDescent="0.3">
      <c r="A33" s="45"/>
      <c r="B33" s="376" t="s">
        <v>39</v>
      </c>
      <c r="C33" s="377"/>
      <c r="D33" s="45"/>
      <c r="E33" s="70" t="s">
        <v>41</v>
      </c>
      <c r="F33" s="152" t="str">
        <f>'Ændringer 1'!H46</f>
        <v>Dato for regnskab</v>
      </c>
      <c r="G33" s="45"/>
      <c r="H33" s="149"/>
      <c r="I33" s="45"/>
      <c r="J33" s="45"/>
    </row>
    <row r="34" spans="1:10" x14ac:dyDescent="0.25">
      <c r="A34" s="45"/>
      <c r="B34" s="69" t="s">
        <v>42</v>
      </c>
      <c r="C34" s="144" t="str">
        <f>Ændringer!G49</f>
        <v>Indsæt dato</v>
      </c>
      <c r="D34" s="45"/>
      <c r="E34" s="375"/>
      <c r="F34" s="375"/>
      <c r="G34" s="45"/>
      <c r="H34" s="149"/>
      <c r="I34" s="45"/>
      <c r="J34" s="45"/>
    </row>
    <row r="35" spans="1:10" ht="15.75" thickBot="1" x14ac:dyDescent="0.3">
      <c r="A35" s="45"/>
      <c r="B35" s="162" t="s">
        <v>43</v>
      </c>
      <c r="C35" s="163" t="str">
        <f>Ændringer!G48</f>
        <v>Indsæt dato</v>
      </c>
      <c r="D35" s="45"/>
      <c r="E35" s="161"/>
      <c r="F35" s="161"/>
      <c r="G35" s="45"/>
      <c r="H35" s="149"/>
      <c r="I35" s="45"/>
      <c r="J35" s="45"/>
    </row>
    <row r="36" spans="1:10" x14ac:dyDescent="0.25">
      <c r="A36" s="45"/>
      <c r="B36" s="45"/>
      <c r="C36" s="45"/>
      <c r="D36" s="45"/>
      <c r="E36" s="149"/>
      <c r="F36" s="149"/>
      <c r="G36" s="45"/>
      <c r="H36" s="149"/>
      <c r="I36" s="45"/>
      <c r="J36" s="45"/>
    </row>
    <row r="37" spans="1:10" x14ac:dyDescent="0.25">
      <c r="B37" s="369"/>
      <c r="C37" s="369"/>
    </row>
    <row r="38" spans="1:10" x14ac:dyDescent="0.25">
      <c r="E38" s="369"/>
      <c r="F38" s="369"/>
    </row>
  </sheetData>
  <sheetProtection sheet="1" selectLockedCells="1"/>
  <mergeCells count="21">
    <mergeCell ref="B21:C21"/>
    <mergeCell ref="B24:C24"/>
    <mergeCell ref="B28:C28"/>
    <mergeCell ref="B33:C33"/>
    <mergeCell ref="B37:C37"/>
    <mergeCell ref="E38:F38"/>
    <mergeCell ref="B15:C15"/>
    <mergeCell ref="A1:J1"/>
    <mergeCell ref="B2:C2"/>
    <mergeCell ref="E2:F2"/>
    <mergeCell ref="H2:I2"/>
    <mergeCell ref="E13:F13"/>
    <mergeCell ref="E22:F22"/>
    <mergeCell ref="E19:F19"/>
    <mergeCell ref="H19:I19"/>
    <mergeCell ref="H13:I13"/>
    <mergeCell ref="H22:I22"/>
    <mergeCell ref="H26:I26"/>
    <mergeCell ref="E34:F34"/>
    <mergeCell ref="E26:F26"/>
    <mergeCell ref="E31:F31"/>
  </mergeCells>
  <pageMargins left="0.7" right="0.7" top="0.75" bottom="0.75" header="0.3" footer="0.3"/>
  <pageSetup paperSize="9" orientation="portrait" r:id="rId1"/>
  <ignoredErrors>
    <ignoredError sqref="I2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4">
    <tabColor rgb="FFFF0000"/>
    <pageSetUpPr fitToPage="1"/>
  </sheetPr>
  <dimension ref="A1:M1048435"/>
  <sheetViews>
    <sheetView zoomScale="85" zoomScaleNormal="85" workbookViewId="0">
      <selection activeCell="H3" sqref="H3"/>
    </sheetView>
  </sheetViews>
  <sheetFormatPr defaultColWidth="9.140625" defaultRowHeight="15" x14ac:dyDescent="0.25"/>
  <cols>
    <col min="1" max="1" width="1.42578125" style="153" customWidth="1"/>
    <col min="2" max="2" width="40" style="153" customWidth="1"/>
    <col min="3" max="4" width="5.7109375" style="153" customWidth="1"/>
    <col min="5" max="5" width="85.7109375" style="153" customWidth="1"/>
    <col min="6" max="9" width="16.42578125" style="153" customWidth="1"/>
    <col min="10" max="10" width="18.5703125" style="153" customWidth="1"/>
    <col min="11" max="11" width="1.42578125" style="153" customWidth="1"/>
    <col min="12" max="12" width="7.140625" style="153" customWidth="1"/>
    <col min="13" max="13" width="16.42578125" style="153" bestFit="1" customWidth="1"/>
    <col min="14" max="16" width="7.140625" style="153" customWidth="1"/>
    <col min="17" max="17" width="1.42578125" style="153" customWidth="1"/>
    <col min="18" max="18" width="9.140625" style="153"/>
    <col min="19" max="19" width="1.42578125" style="153" customWidth="1"/>
    <col min="20" max="20" width="14.28515625" style="153" customWidth="1"/>
    <col min="21" max="35" width="9.140625" style="153"/>
    <col min="36" max="36" width="1.42578125" style="153" customWidth="1"/>
    <col min="37" max="16384" width="9.140625" style="153"/>
  </cols>
  <sheetData>
    <row r="1" spans="1:13" x14ac:dyDescent="0.25">
      <c r="A1" s="409" t="s">
        <v>330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</row>
    <row r="2" spans="1:13" ht="30" customHeight="1" x14ac:dyDescent="0.25">
      <c r="A2" s="18"/>
      <c r="B2" s="22" t="s">
        <v>258</v>
      </c>
      <c r="C2" s="391" t="s">
        <v>259</v>
      </c>
      <c r="D2" s="391"/>
      <c r="E2" s="22" t="s">
        <v>260</v>
      </c>
      <c r="F2" s="23" t="s">
        <v>261</v>
      </c>
      <c r="G2" s="23" t="s">
        <v>262</v>
      </c>
      <c r="H2" s="23" t="str">
        <f>IF('Regnskab - Ansøger'!F15="Ja","Godkendt vedligehold","Godkendt støttede arb.")</f>
        <v>Godkendt støttede arb.</v>
      </c>
      <c r="I2" s="23" t="str">
        <f>IF('Regnskab - Ansøger'!F15="Ja","Ansøgt vedligehold","Ansøgt støttede arb.")</f>
        <v>Ansøgt støttede arb.</v>
      </c>
      <c r="J2" s="23" t="s">
        <v>355</v>
      </c>
      <c r="K2" s="18"/>
      <c r="M2" s="104" t="s">
        <v>263</v>
      </c>
    </row>
    <row r="3" spans="1:13" x14ac:dyDescent="0.25">
      <c r="A3" s="18"/>
      <c r="B3" s="7" t="s">
        <v>183</v>
      </c>
      <c r="C3" s="7" t="s">
        <v>184</v>
      </c>
      <c r="D3" s="220">
        <v>0</v>
      </c>
      <c r="E3" s="28"/>
      <c r="F3" s="35">
        <v>0</v>
      </c>
      <c r="G3" s="34">
        <f>'Regnskab - Ansøger'!L69</f>
        <v>0</v>
      </c>
      <c r="H3" s="26">
        <v>0</v>
      </c>
      <c r="I3" s="20">
        <f>'Regnskab - Ansøger'!N69</f>
        <v>0</v>
      </c>
      <c r="J3" s="20">
        <f>IF((G3+I3)&gt;(F3+H3),(G3+I3)-(F3+H3),0)</f>
        <v>0</v>
      </c>
      <c r="K3" s="18"/>
      <c r="M3" s="105" t="str">
        <f>IF(H3+F3&gt;G3+I3,"OBS!","")</f>
        <v/>
      </c>
    </row>
    <row r="4" spans="1:13" x14ac:dyDescent="0.25">
      <c r="A4" s="18"/>
      <c r="B4" s="7" t="s">
        <v>186</v>
      </c>
      <c r="C4" s="7" t="s">
        <v>184</v>
      </c>
      <c r="D4" s="220">
        <v>0</v>
      </c>
      <c r="E4" s="28"/>
      <c r="F4" s="35">
        <v>0</v>
      </c>
      <c r="G4" s="34">
        <f>'Regnskab - Ansøger'!L70</f>
        <v>0</v>
      </c>
      <c r="H4" s="26">
        <v>0</v>
      </c>
      <c r="I4" s="20">
        <f>'Regnskab - Ansøger'!N70</f>
        <v>0</v>
      </c>
      <c r="J4" s="20">
        <f t="shared" ref="J4:J21" si="0">IF((G4+I4)&gt;(F4+H4),(G4+I4)-(F4+H4),0)</f>
        <v>0</v>
      </c>
      <c r="K4" s="18"/>
      <c r="M4" s="105" t="str">
        <f t="shared" ref="M4:M34" si="1">IF(H4+F4&gt;G4+I4,"OBS!","")</f>
        <v/>
      </c>
    </row>
    <row r="5" spans="1:13" x14ac:dyDescent="0.25">
      <c r="A5" s="18"/>
      <c r="B5" s="7" t="s">
        <v>188</v>
      </c>
      <c r="C5" s="7" t="s">
        <v>184</v>
      </c>
      <c r="D5" s="220">
        <v>0</v>
      </c>
      <c r="E5" s="28"/>
      <c r="F5" s="35">
        <v>0</v>
      </c>
      <c r="G5" s="34">
        <f>'Regnskab - Ansøger'!L71</f>
        <v>0</v>
      </c>
      <c r="H5" s="26">
        <v>0</v>
      </c>
      <c r="I5" s="20">
        <f>'Regnskab - Ansøger'!N71</f>
        <v>0</v>
      </c>
      <c r="J5" s="20">
        <f t="shared" si="0"/>
        <v>0</v>
      </c>
      <c r="K5" s="18"/>
      <c r="M5" s="105" t="str">
        <f t="shared" si="1"/>
        <v/>
      </c>
    </row>
    <row r="6" spans="1:13" x14ac:dyDescent="0.25">
      <c r="A6" s="18"/>
      <c r="B6" s="7" t="s">
        <v>190</v>
      </c>
      <c r="C6" s="7" t="s">
        <v>191</v>
      </c>
      <c r="D6" s="220">
        <v>0</v>
      </c>
      <c r="E6" s="28"/>
      <c r="F6" s="35">
        <v>0</v>
      </c>
      <c r="G6" s="34">
        <f>'Regnskab - Ansøger'!L72</f>
        <v>0</v>
      </c>
      <c r="H6" s="26">
        <v>0</v>
      </c>
      <c r="I6" s="20">
        <f>'Regnskab - Ansøger'!N72</f>
        <v>0</v>
      </c>
      <c r="J6" s="20">
        <f t="shared" si="0"/>
        <v>0</v>
      </c>
      <c r="K6" s="18"/>
      <c r="M6" s="105" t="str">
        <f t="shared" si="1"/>
        <v/>
      </c>
    </row>
    <row r="7" spans="1:13" x14ac:dyDescent="0.25">
      <c r="A7" s="18"/>
      <c r="B7" s="7" t="s">
        <v>193</v>
      </c>
      <c r="C7" s="7" t="s">
        <v>191</v>
      </c>
      <c r="D7" s="220">
        <v>0</v>
      </c>
      <c r="E7" s="28"/>
      <c r="F7" s="35">
        <v>0</v>
      </c>
      <c r="G7" s="34">
        <f>'Regnskab - Ansøger'!L73</f>
        <v>0</v>
      </c>
      <c r="H7" s="26">
        <v>0</v>
      </c>
      <c r="I7" s="20">
        <f>'Regnskab - Ansøger'!N73</f>
        <v>0</v>
      </c>
      <c r="J7" s="20">
        <f t="shared" si="0"/>
        <v>0</v>
      </c>
      <c r="K7" s="18"/>
      <c r="M7" s="105" t="str">
        <f t="shared" si="1"/>
        <v/>
      </c>
    </row>
    <row r="8" spans="1:13" x14ac:dyDescent="0.25">
      <c r="A8" s="18"/>
      <c r="B8" s="7" t="s">
        <v>195</v>
      </c>
      <c r="C8" s="7" t="s">
        <v>191</v>
      </c>
      <c r="D8" s="220">
        <v>0</v>
      </c>
      <c r="E8" s="28"/>
      <c r="F8" s="35">
        <v>0</v>
      </c>
      <c r="G8" s="34">
        <f>'Regnskab - Ansøger'!L74</f>
        <v>0</v>
      </c>
      <c r="H8" s="26">
        <v>0</v>
      </c>
      <c r="I8" s="20">
        <f>'Regnskab - Ansøger'!N74</f>
        <v>0</v>
      </c>
      <c r="J8" s="20">
        <f t="shared" si="0"/>
        <v>0</v>
      </c>
      <c r="K8" s="18"/>
      <c r="M8" s="105" t="str">
        <f t="shared" si="1"/>
        <v/>
      </c>
    </row>
    <row r="9" spans="1:13" x14ac:dyDescent="0.25">
      <c r="A9" s="18"/>
      <c r="B9" s="7" t="s">
        <v>197</v>
      </c>
      <c r="C9" s="7" t="s">
        <v>191</v>
      </c>
      <c r="D9" s="220">
        <v>0</v>
      </c>
      <c r="E9" s="28"/>
      <c r="F9" s="35">
        <v>0</v>
      </c>
      <c r="G9" s="34">
        <f>'Regnskab - Ansøger'!L75</f>
        <v>0</v>
      </c>
      <c r="H9" s="26">
        <v>0</v>
      </c>
      <c r="I9" s="20">
        <f>'Regnskab - Ansøger'!N75</f>
        <v>0</v>
      </c>
      <c r="J9" s="20">
        <f t="shared" si="0"/>
        <v>0</v>
      </c>
      <c r="K9" s="18"/>
      <c r="M9" s="105" t="str">
        <f t="shared" si="1"/>
        <v/>
      </c>
    </row>
    <row r="10" spans="1:13" x14ac:dyDescent="0.25">
      <c r="A10" s="18"/>
      <c r="B10" s="7" t="s">
        <v>199</v>
      </c>
      <c r="C10" s="7" t="s">
        <v>200</v>
      </c>
      <c r="D10" s="220">
        <v>0</v>
      </c>
      <c r="E10" s="28"/>
      <c r="F10" s="35">
        <v>0</v>
      </c>
      <c r="G10" s="34">
        <f>'Regnskab - Ansøger'!L76</f>
        <v>0</v>
      </c>
      <c r="H10" s="26">
        <v>0</v>
      </c>
      <c r="I10" s="20">
        <f>'Regnskab - Ansøger'!N76</f>
        <v>0</v>
      </c>
      <c r="J10" s="20">
        <f t="shared" si="0"/>
        <v>0</v>
      </c>
      <c r="K10" s="18"/>
      <c r="M10" s="105" t="str">
        <f t="shared" si="1"/>
        <v/>
      </c>
    </row>
    <row r="11" spans="1:13" x14ac:dyDescent="0.25">
      <c r="A11" s="18"/>
      <c r="B11" s="7" t="s">
        <v>202</v>
      </c>
      <c r="C11" s="7" t="s">
        <v>191</v>
      </c>
      <c r="D11" s="220" t="s">
        <v>264</v>
      </c>
      <c r="E11" s="28"/>
      <c r="F11" s="35">
        <v>0</v>
      </c>
      <c r="G11" s="34">
        <f>'Regnskab - Ansøger'!L77</f>
        <v>0</v>
      </c>
      <c r="H11" s="26">
        <v>0</v>
      </c>
      <c r="I11" s="20">
        <f>'Regnskab - Ansøger'!N77</f>
        <v>0</v>
      </c>
      <c r="J11" s="20">
        <f t="shared" si="0"/>
        <v>0</v>
      </c>
      <c r="K11" s="18"/>
      <c r="M11" s="105" t="str">
        <f t="shared" si="1"/>
        <v/>
      </c>
    </row>
    <row r="12" spans="1:13" x14ac:dyDescent="0.25">
      <c r="A12" s="18"/>
      <c r="B12" s="7" t="s">
        <v>204</v>
      </c>
      <c r="C12" s="7" t="s">
        <v>191</v>
      </c>
      <c r="D12" s="220">
        <v>0</v>
      </c>
      <c r="E12" s="28"/>
      <c r="F12" s="35">
        <v>0</v>
      </c>
      <c r="G12" s="34">
        <f>'Regnskab - Ansøger'!L78</f>
        <v>0</v>
      </c>
      <c r="H12" s="26">
        <v>0</v>
      </c>
      <c r="I12" s="20">
        <f>'Regnskab - Ansøger'!N78</f>
        <v>0</v>
      </c>
      <c r="J12" s="20">
        <f t="shared" si="0"/>
        <v>0</v>
      </c>
      <c r="K12" s="18"/>
      <c r="M12" s="105" t="str">
        <f t="shared" si="1"/>
        <v/>
      </c>
    </row>
    <row r="13" spans="1:13" x14ac:dyDescent="0.25">
      <c r="A13" s="18"/>
      <c r="B13" s="7" t="s">
        <v>206</v>
      </c>
      <c r="C13" s="7" t="s">
        <v>207</v>
      </c>
      <c r="D13" s="220">
        <v>0</v>
      </c>
      <c r="E13" s="28"/>
      <c r="F13" s="35">
        <v>0</v>
      </c>
      <c r="G13" s="34">
        <f>'Regnskab - Ansøger'!L79</f>
        <v>0</v>
      </c>
      <c r="H13" s="26">
        <v>0</v>
      </c>
      <c r="I13" s="20">
        <f>'Regnskab - Ansøger'!N79</f>
        <v>0</v>
      </c>
      <c r="J13" s="20">
        <f t="shared" si="0"/>
        <v>0</v>
      </c>
      <c r="K13" s="18"/>
      <c r="M13" s="105" t="str">
        <f t="shared" si="1"/>
        <v/>
      </c>
    </row>
    <row r="14" spans="1:13" x14ac:dyDescent="0.25">
      <c r="A14" s="18"/>
      <c r="B14" s="7" t="s">
        <v>209</v>
      </c>
      <c r="C14" s="7" t="s">
        <v>207</v>
      </c>
      <c r="D14" s="220">
        <v>0</v>
      </c>
      <c r="E14" s="28"/>
      <c r="F14" s="35">
        <v>0</v>
      </c>
      <c r="G14" s="34">
        <f>'Regnskab - Ansøger'!L80</f>
        <v>0</v>
      </c>
      <c r="H14" s="26">
        <v>0</v>
      </c>
      <c r="I14" s="20">
        <f>'Regnskab - Ansøger'!N80</f>
        <v>0</v>
      </c>
      <c r="J14" s="20">
        <f t="shared" si="0"/>
        <v>0</v>
      </c>
      <c r="K14" s="18"/>
      <c r="M14" s="105" t="str">
        <f t="shared" si="1"/>
        <v/>
      </c>
    </row>
    <row r="15" spans="1:13" x14ac:dyDescent="0.25">
      <c r="A15" s="18"/>
      <c r="B15" s="7" t="s">
        <v>211</v>
      </c>
      <c r="C15" s="7" t="s">
        <v>191</v>
      </c>
      <c r="D15" s="220">
        <v>0</v>
      </c>
      <c r="E15" s="28"/>
      <c r="F15" s="35">
        <v>0</v>
      </c>
      <c r="G15" s="34">
        <f>'Regnskab - Ansøger'!L81</f>
        <v>0</v>
      </c>
      <c r="H15" s="26">
        <v>0</v>
      </c>
      <c r="I15" s="20">
        <f>'Regnskab - Ansøger'!N81</f>
        <v>0</v>
      </c>
      <c r="J15" s="20">
        <f t="shared" si="0"/>
        <v>0</v>
      </c>
      <c r="K15" s="18"/>
      <c r="M15" s="105" t="str">
        <f t="shared" si="1"/>
        <v/>
      </c>
    </row>
    <row r="16" spans="1:13" x14ac:dyDescent="0.25">
      <c r="A16" s="18"/>
      <c r="B16" s="7" t="s">
        <v>213</v>
      </c>
      <c r="C16" s="7" t="s">
        <v>207</v>
      </c>
      <c r="D16" s="220">
        <v>0</v>
      </c>
      <c r="E16" s="28"/>
      <c r="F16" s="35">
        <v>0</v>
      </c>
      <c r="G16" s="34">
        <f>'Regnskab - Ansøger'!L82</f>
        <v>0</v>
      </c>
      <c r="H16" s="26">
        <v>0</v>
      </c>
      <c r="I16" s="20">
        <f>'Regnskab - Ansøger'!N82</f>
        <v>0</v>
      </c>
      <c r="J16" s="20">
        <f t="shared" si="0"/>
        <v>0</v>
      </c>
      <c r="K16" s="18"/>
      <c r="M16" s="105" t="str">
        <f t="shared" si="1"/>
        <v/>
      </c>
    </row>
    <row r="17" spans="1:13" x14ac:dyDescent="0.25">
      <c r="A17" s="18"/>
      <c r="B17" s="7" t="s">
        <v>215</v>
      </c>
      <c r="C17" s="7" t="s">
        <v>207</v>
      </c>
      <c r="D17" s="220">
        <v>0</v>
      </c>
      <c r="E17" s="28"/>
      <c r="F17" s="35">
        <v>0</v>
      </c>
      <c r="G17" s="34">
        <f>'Regnskab - Ansøger'!L83</f>
        <v>0</v>
      </c>
      <c r="H17" s="26">
        <v>0</v>
      </c>
      <c r="I17" s="20">
        <f>'Regnskab - Ansøger'!N83</f>
        <v>0</v>
      </c>
      <c r="J17" s="20">
        <f t="shared" si="0"/>
        <v>0</v>
      </c>
      <c r="K17" s="18"/>
      <c r="M17" s="105" t="str">
        <f t="shared" si="1"/>
        <v/>
      </c>
    </row>
    <row r="18" spans="1:13" x14ac:dyDescent="0.25">
      <c r="A18" s="18"/>
      <c r="B18" s="7" t="s">
        <v>217</v>
      </c>
      <c r="C18" s="7" t="s">
        <v>207</v>
      </c>
      <c r="D18" s="220">
        <v>0</v>
      </c>
      <c r="E18" s="28"/>
      <c r="F18" s="35">
        <v>0</v>
      </c>
      <c r="G18" s="34">
        <f>'Regnskab - Ansøger'!L84</f>
        <v>0</v>
      </c>
      <c r="H18" s="26">
        <v>0</v>
      </c>
      <c r="I18" s="20">
        <f>'Regnskab - Ansøger'!N84</f>
        <v>0</v>
      </c>
      <c r="J18" s="20">
        <f t="shared" si="0"/>
        <v>0</v>
      </c>
      <c r="K18" s="18"/>
      <c r="M18" s="105" t="str">
        <f t="shared" si="1"/>
        <v/>
      </c>
    </row>
    <row r="19" spans="1:13" x14ac:dyDescent="0.25">
      <c r="A19" s="18"/>
      <c r="B19" s="7" t="s">
        <v>219</v>
      </c>
      <c r="C19" s="7" t="s">
        <v>207</v>
      </c>
      <c r="D19" s="220">
        <v>0</v>
      </c>
      <c r="E19" s="28"/>
      <c r="F19" s="35">
        <v>0</v>
      </c>
      <c r="G19" s="34">
        <f>'Regnskab - Ansøger'!L85</f>
        <v>0</v>
      </c>
      <c r="H19" s="26">
        <v>0</v>
      </c>
      <c r="I19" s="20">
        <f>'Regnskab - Ansøger'!N85</f>
        <v>0</v>
      </c>
      <c r="J19" s="20">
        <f t="shared" si="0"/>
        <v>0</v>
      </c>
      <c r="K19" s="18"/>
      <c r="M19" s="105" t="str">
        <f t="shared" si="1"/>
        <v/>
      </c>
    </row>
    <row r="20" spans="1:13" x14ac:dyDescent="0.25">
      <c r="A20" s="18"/>
      <c r="B20" s="7" t="s">
        <v>221</v>
      </c>
      <c r="C20" s="7" t="s">
        <v>200</v>
      </c>
      <c r="D20" s="220">
        <v>0</v>
      </c>
      <c r="E20" s="28"/>
      <c r="F20" s="35">
        <v>0</v>
      </c>
      <c r="G20" s="34">
        <f>'Regnskab - Ansøger'!L86</f>
        <v>0</v>
      </c>
      <c r="H20" s="26">
        <v>0</v>
      </c>
      <c r="I20" s="20">
        <f>'Regnskab - Ansøger'!N86</f>
        <v>0</v>
      </c>
      <c r="J20" s="20">
        <f t="shared" si="0"/>
        <v>0</v>
      </c>
      <c r="K20" s="18"/>
      <c r="M20" s="105" t="str">
        <f t="shared" si="1"/>
        <v/>
      </c>
    </row>
    <row r="21" spans="1:13" x14ac:dyDescent="0.25">
      <c r="A21" s="18"/>
      <c r="B21" s="260" t="s">
        <v>265</v>
      </c>
      <c r="C21" s="261"/>
      <c r="D21" s="262"/>
      <c r="E21" s="36"/>
      <c r="F21" s="35">
        <v>0</v>
      </c>
      <c r="G21" s="34">
        <f>'Regnskab - Ansøger'!L94</f>
        <v>0</v>
      </c>
      <c r="H21" s="26">
        <v>0</v>
      </c>
      <c r="I21" s="20">
        <f>'Regnskab - Ansøger'!N94</f>
        <v>0</v>
      </c>
      <c r="J21" s="20">
        <f t="shared" si="0"/>
        <v>0</v>
      </c>
      <c r="K21" s="19"/>
      <c r="L21" s="175"/>
      <c r="M21" s="105" t="str">
        <f t="shared" si="1"/>
        <v/>
      </c>
    </row>
    <row r="22" spans="1:13" ht="30" x14ac:dyDescent="0.25">
      <c r="A22" s="18"/>
      <c r="B22" s="392" t="s">
        <v>266</v>
      </c>
      <c r="C22" s="393"/>
      <c r="D22" s="393"/>
      <c r="E22" s="22" t="s">
        <v>260</v>
      </c>
      <c r="F22" s="130"/>
      <c r="G22" s="130"/>
      <c r="H22" s="41" t="s">
        <v>267</v>
      </c>
      <c r="I22" s="41" t="s">
        <v>268</v>
      </c>
      <c r="J22" s="42" t="s">
        <v>355</v>
      </c>
      <c r="K22" s="18"/>
      <c r="M22" s="105"/>
    </row>
    <row r="23" spans="1:13" x14ac:dyDescent="0.25">
      <c r="A23" s="18"/>
      <c r="B23" s="254" t="s">
        <v>226</v>
      </c>
      <c r="C23" s="254"/>
      <c r="D23" s="21"/>
      <c r="E23" s="28"/>
      <c r="F23" s="130"/>
      <c r="G23" s="130"/>
      <c r="H23" s="35">
        <v>0</v>
      </c>
      <c r="I23" s="20">
        <f>'Regnskab - Ansøger'!J90</f>
        <v>0</v>
      </c>
      <c r="J23" s="20">
        <f t="shared" ref="J23:J24" si="2">IF(H23-I23&gt;0,0,I23-H23)</f>
        <v>0</v>
      </c>
      <c r="K23" s="19"/>
      <c r="L23" s="175"/>
      <c r="M23" s="105" t="str">
        <f t="shared" si="1"/>
        <v/>
      </c>
    </row>
    <row r="24" spans="1:13" x14ac:dyDescent="0.25">
      <c r="A24" s="18"/>
      <c r="B24" s="254" t="s">
        <v>228</v>
      </c>
      <c r="C24" s="254"/>
      <c r="D24" s="21"/>
      <c r="E24" s="28"/>
      <c r="F24" s="130"/>
      <c r="G24" s="130"/>
      <c r="H24" s="35">
        <v>0</v>
      </c>
      <c r="I24" s="20">
        <f>'Regnskab - Ansøger'!J91</f>
        <v>0</v>
      </c>
      <c r="J24" s="20">
        <f t="shared" si="2"/>
        <v>0</v>
      </c>
      <c r="K24" s="19"/>
      <c r="L24" s="175"/>
      <c r="M24" s="105" t="str">
        <f t="shared" si="1"/>
        <v/>
      </c>
    </row>
    <row r="25" spans="1:13" ht="15" customHeight="1" x14ac:dyDescent="0.25">
      <c r="A25" s="18"/>
      <c r="B25" s="7" t="s">
        <v>234</v>
      </c>
      <c r="C25" s="38">
        <v>0.15</v>
      </c>
      <c r="D25" s="21"/>
      <c r="E25" s="4" t="str">
        <f>IF('Regnskab - Ansøger'!H96&gt;15%,"Der kan maksimalt godkendes 15% som støtteberettiget udgift.","Det ansøgte beløb " &amp;TEXT(ROUND(I25,2),"#.##0,00")&amp; " kr. kan godkendes")</f>
        <v>Det ansøgte beløb 0,00 kr. kan godkendes</v>
      </c>
      <c r="F25" s="130"/>
      <c r="G25" s="130"/>
      <c r="H25" s="44">
        <f>IF(I25=0,0,IF(I25/(Regnskab!J27+Regnskab!J30)&gt;15%,(Regnskab!J27+Regnskab!J30)*15%,I25))</f>
        <v>0</v>
      </c>
      <c r="I25" s="20">
        <f>'Regnskab - Ansøger'!J96</f>
        <v>0</v>
      </c>
      <c r="J25" s="20">
        <f t="shared" ref="J25:J33" si="3">IF(H25-I25&gt;0,0,I25-H25)</f>
        <v>0</v>
      </c>
      <c r="K25" s="19"/>
      <c r="M25" s="105" t="str">
        <f t="shared" si="1"/>
        <v/>
      </c>
    </row>
    <row r="26" spans="1:13" x14ac:dyDescent="0.25">
      <c r="A26" s="18"/>
      <c r="B26" s="254" t="s">
        <v>235</v>
      </c>
      <c r="C26" s="254"/>
      <c r="D26" s="21"/>
      <c r="E26" s="37"/>
      <c r="F26" s="130"/>
      <c r="G26" s="130"/>
      <c r="H26" s="35">
        <v>0</v>
      </c>
      <c r="I26" s="20">
        <f>'Regnskab - Ansøger'!J97</f>
        <v>0</v>
      </c>
      <c r="J26" s="20">
        <f t="shared" si="3"/>
        <v>0</v>
      </c>
      <c r="K26" s="19"/>
      <c r="M26" s="105" t="str">
        <f t="shared" si="1"/>
        <v/>
      </c>
    </row>
    <row r="27" spans="1:13" x14ac:dyDescent="0.25">
      <c r="A27" s="18"/>
      <c r="B27" s="254" t="s">
        <v>236</v>
      </c>
      <c r="C27" s="254"/>
      <c r="D27" s="21"/>
      <c r="E27" s="37"/>
      <c r="F27" s="130"/>
      <c r="G27" s="130"/>
      <c r="H27" s="35">
        <v>0</v>
      </c>
      <c r="I27" s="20">
        <f>'Regnskab - Ansøger'!J98</f>
        <v>0</v>
      </c>
      <c r="J27" s="20">
        <f t="shared" si="3"/>
        <v>0</v>
      </c>
      <c r="K27" s="19"/>
      <c r="M27" s="105" t="str">
        <f t="shared" si="1"/>
        <v/>
      </c>
    </row>
    <row r="28" spans="1:13" x14ac:dyDescent="0.25">
      <c r="A28" s="18"/>
      <c r="B28" s="254" t="s">
        <v>239</v>
      </c>
      <c r="C28" s="254"/>
      <c r="D28" s="21"/>
      <c r="E28" s="37"/>
      <c r="F28" s="130"/>
      <c r="G28" s="130"/>
      <c r="H28" s="35">
        <v>0</v>
      </c>
      <c r="I28" s="20">
        <f>'Regnskab - Ansøger'!J100</f>
        <v>0</v>
      </c>
      <c r="J28" s="20">
        <f t="shared" si="3"/>
        <v>0</v>
      </c>
      <c r="K28" s="19"/>
      <c r="M28" s="105" t="str">
        <f t="shared" si="1"/>
        <v/>
      </c>
    </row>
    <row r="29" spans="1:13" x14ac:dyDescent="0.25">
      <c r="A29" s="18"/>
      <c r="B29" s="254" t="s">
        <v>240</v>
      </c>
      <c r="C29" s="254"/>
      <c r="D29" s="21"/>
      <c r="E29" s="37"/>
      <c r="F29" s="130"/>
      <c r="G29" s="130"/>
      <c r="H29" s="35">
        <v>0</v>
      </c>
      <c r="I29" s="20">
        <f>'Regnskab - Ansøger'!J101</f>
        <v>0</v>
      </c>
      <c r="J29" s="20">
        <f t="shared" si="3"/>
        <v>0</v>
      </c>
      <c r="K29" s="19"/>
      <c r="M29" s="105" t="str">
        <f t="shared" si="1"/>
        <v/>
      </c>
    </row>
    <row r="30" spans="1:13" x14ac:dyDescent="0.25">
      <c r="A30" s="18"/>
      <c r="B30" s="254" t="s">
        <v>269</v>
      </c>
      <c r="C30" s="254"/>
      <c r="D30" s="21"/>
      <c r="E30" s="28"/>
      <c r="F30" s="130"/>
      <c r="G30" s="130"/>
      <c r="H30" s="35">
        <v>0</v>
      </c>
      <c r="I30" s="20">
        <f>'Regnskab - Ansøger'!J103</f>
        <v>0</v>
      </c>
      <c r="J30" s="20">
        <f t="shared" si="3"/>
        <v>0</v>
      </c>
      <c r="K30" s="19"/>
      <c r="M30" s="105" t="str">
        <f t="shared" si="1"/>
        <v/>
      </c>
    </row>
    <row r="31" spans="1:13" x14ac:dyDescent="0.25">
      <c r="A31" s="18"/>
      <c r="B31" s="254" t="s">
        <v>270</v>
      </c>
      <c r="C31" s="254"/>
      <c r="D31" s="21"/>
      <c r="E31" s="28"/>
      <c r="F31" s="130"/>
      <c r="G31" s="130"/>
      <c r="H31" s="35">
        <v>0</v>
      </c>
      <c r="I31" s="20">
        <f>'Regnskab - Ansøger'!J104</f>
        <v>0</v>
      </c>
      <c r="J31" s="20">
        <f t="shared" si="3"/>
        <v>0</v>
      </c>
      <c r="K31" s="19"/>
      <c r="M31" s="105" t="str">
        <f t="shared" si="1"/>
        <v/>
      </c>
    </row>
    <row r="32" spans="1:13" x14ac:dyDescent="0.25">
      <c r="A32" s="18"/>
      <c r="B32" s="254" t="s">
        <v>245</v>
      </c>
      <c r="C32" s="254"/>
      <c r="D32" s="21"/>
      <c r="E32" s="28"/>
      <c r="F32" s="130"/>
      <c r="G32" s="130"/>
      <c r="H32" s="35">
        <v>0</v>
      </c>
      <c r="I32" s="20">
        <f>'Regnskab - Ansøger'!J105</f>
        <v>0</v>
      </c>
      <c r="J32" s="20">
        <f t="shared" si="3"/>
        <v>0</v>
      </c>
      <c r="K32" s="19"/>
      <c r="M32" s="105" t="str">
        <f t="shared" si="1"/>
        <v/>
      </c>
    </row>
    <row r="33" spans="1:13" x14ac:dyDescent="0.25">
      <c r="A33" s="18"/>
      <c r="B33" s="254" t="s">
        <v>246</v>
      </c>
      <c r="C33" s="254"/>
      <c r="D33" s="21"/>
      <c r="E33" s="4" t="str">
        <f>IF(I33&gt;C48,"Der kan maksimalt godkendes "&amp;TEXT(ROUND(C48,2),"#.##0,00")&amp;" kr. som støtteberettiget udgift.","Det ansøgte beløb "&amp;TEXT(ROUND(I33+G33,2),"#.##0,00")&amp;" kr. kan godkendes")</f>
        <v>Det ansøgte beløb 0,00 kr. kan godkendes</v>
      </c>
      <c r="F33" s="130"/>
      <c r="G33" s="130"/>
      <c r="H33" s="44">
        <f>IF(I33&lt;C48,I33,C48)</f>
        <v>0</v>
      </c>
      <c r="I33" s="20">
        <f>'Regnskab - Ansøger'!J106</f>
        <v>0</v>
      </c>
      <c r="J33" s="20">
        <f t="shared" si="3"/>
        <v>0</v>
      </c>
      <c r="K33" s="19"/>
      <c r="M33" s="105" t="str">
        <f t="shared" si="1"/>
        <v/>
      </c>
    </row>
    <row r="34" spans="1:13" x14ac:dyDescent="0.25">
      <c r="A34" s="18"/>
      <c r="B34" s="260" t="s">
        <v>331</v>
      </c>
      <c r="C34" s="261"/>
      <c r="D34" s="146"/>
      <c r="E34" s="145"/>
      <c r="F34" s="130"/>
      <c r="G34" s="130"/>
      <c r="H34" s="44">
        <v>0</v>
      </c>
      <c r="I34" s="64"/>
      <c r="J34" s="64"/>
      <c r="K34" s="19"/>
      <c r="M34" s="105" t="str">
        <f t="shared" si="1"/>
        <v/>
      </c>
    </row>
    <row r="35" spans="1:13" x14ac:dyDescent="0.25">
      <c r="A35" s="18"/>
      <c r="B35" s="64"/>
      <c r="C35" s="64"/>
      <c r="D35" s="18"/>
      <c r="E35" s="64"/>
      <c r="F35" s="7" t="s">
        <v>271</v>
      </c>
      <c r="G35" s="27">
        <v>0</v>
      </c>
      <c r="H35" s="18"/>
      <c r="I35" s="18"/>
      <c r="J35" s="18"/>
      <c r="K35" s="19"/>
    </row>
    <row r="36" spans="1:13" ht="7.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9"/>
    </row>
    <row r="38" spans="1:13" ht="15.75" thickBot="1" x14ac:dyDescent="0.3">
      <c r="B38" s="386" t="s">
        <v>273</v>
      </c>
      <c r="C38" s="386"/>
      <c r="D38" s="386"/>
      <c r="E38" s="386"/>
      <c r="F38" s="378" t="s">
        <v>274</v>
      </c>
      <c r="G38" s="378"/>
      <c r="H38" s="378"/>
      <c r="I38" s="378"/>
    </row>
    <row r="39" spans="1:13" ht="15.75" customHeight="1" x14ac:dyDescent="0.25">
      <c r="B39" s="422" t="s">
        <v>275</v>
      </c>
      <c r="C39" s="423"/>
      <c r="D39" s="423"/>
      <c r="E39" s="424"/>
      <c r="F39" s="538" t="s">
        <v>332</v>
      </c>
      <c r="G39" s="508"/>
      <c r="H39" s="387" t="s">
        <v>319</v>
      </c>
      <c r="I39" s="387"/>
      <c r="J39" s="388"/>
    </row>
    <row r="40" spans="1:13" x14ac:dyDescent="0.25">
      <c r="B40" s="397" t="s">
        <v>378</v>
      </c>
      <c r="C40" s="395"/>
      <c r="D40" s="395"/>
      <c r="E40" s="479"/>
      <c r="F40" s="412" t="s">
        <v>15</v>
      </c>
      <c r="G40" s="395"/>
      <c r="H40" s="477" t="s">
        <v>333</v>
      </c>
      <c r="I40" s="477"/>
      <c r="J40" s="539"/>
    </row>
    <row r="41" spans="1:13" x14ac:dyDescent="0.25">
      <c r="B41" s="15" t="s">
        <v>280</v>
      </c>
      <c r="C41" s="383">
        <f>Regnskab!J27+Regnskab!J30+Regnskab!J34+Regnskab!J37+Regnskab!J38+Regnskab!J39+Regnskab!J40+Regnskab!J43+Regnskab!J44+Regnskab!J45</f>
        <v>0</v>
      </c>
      <c r="D41" s="416"/>
      <c r="E41" s="413"/>
      <c r="F41" s="411" t="s">
        <v>334</v>
      </c>
      <c r="G41" s="412"/>
      <c r="H41" s="389" t="s">
        <v>335</v>
      </c>
      <c r="I41" s="506"/>
      <c r="J41" s="390"/>
    </row>
    <row r="42" spans="1:13" x14ac:dyDescent="0.25">
      <c r="B42" s="15" t="s">
        <v>282</v>
      </c>
      <c r="C42" s="395">
        <f>G35</f>
        <v>0</v>
      </c>
      <c r="D42" s="395"/>
      <c r="E42" s="479"/>
      <c r="F42" s="412" t="s">
        <v>336</v>
      </c>
      <c r="G42" s="395"/>
      <c r="H42" s="478" t="s">
        <v>335</v>
      </c>
      <c r="I42" s="478"/>
      <c r="J42" s="537"/>
    </row>
    <row r="43" spans="1:13" x14ac:dyDescent="0.25">
      <c r="B43" s="15" t="s">
        <v>285</v>
      </c>
      <c r="C43" s="382">
        <v>3000</v>
      </c>
      <c r="D43" s="382"/>
      <c r="E43" s="480"/>
      <c r="F43" s="410" t="s">
        <v>337</v>
      </c>
      <c r="G43" s="412"/>
      <c r="H43" s="389" t="s">
        <v>338</v>
      </c>
      <c r="I43" s="506"/>
      <c r="J43" s="390"/>
    </row>
    <row r="44" spans="1:13" x14ac:dyDescent="0.25">
      <c r="B44" s="16">
        <v>2.5000000000000001E-2</v>
      </c>
      <c r="C44" s="382">
        <f>IF(C41&gt;E50,(E50*B44),C41*B44)</f>
        <v>0</v>
      </c>
      <c r="D44" s="382"/>
      <c r="E44" s="480"/>
      <c r="F44" s="410" t="s">
        <v>339</v>
      </c>
      <c r="G44" s="412"/>
      <c r="H44" s="389" t="s">
        <v>340</v>
      </c>
      <c r="I44" s="506"/>
      <c r="J44" s="390"/>
    </row>
    <row r="45" spans="1:13" x14ac:dyDescent="0.25">
      <c r="B45" s="16">
        <v>0.02</v>
      </c>
      <c r="C45" s="384">
        <f>IF(E55&gt;0,E55*B45,0)</f>
        <v>0</v>
      </c>
      <c r="D45" s="384"/>
      <c r="E45" s="481"/>
      <c r="F45" s="410" t="s">
        <v>341</v>
      </c>
      <c r="G45" s="412"/>
      <c r="H45" s="389" t="s">
        <v>338</v>
      </c>
      <c r="I45" s="506"/>
      <c r="J45" s="390"/>
    </row>
    <row r="46" spans="1:13" ht="15.75" thickBot="1" x14ac:dyDescent="0.3">
      <c r="B46" s="16">
        <v>1.4999999999999999E-2</v>
      </c>
      <c r="C46" s="384">
        <f>IF(E56&gt;0,E56*B46,0)</f>
        <v>0</v>
      </c>
      <c r="D46" s="384"/>
      <c r="E46" s="481"/>
      <c r="F46" s="427" t="s">
        <v>342</v>
      </c>
      <c r="G46" s="513"/>
      <c r="H46" s="535" t="e">
        <f>IF(H41&gt;EOMONTH(#REF!,3),"Ja","Nej")</f>
        <v>#REF!</v>
      </c>
      <c r="I46" s="535"/>
      <c r="J46" s="536"/>
    </row>
    <row r="47" spans="1:13" x14ac:dyDescent="0.25">
      <c r="B47" s="16">
        <v>1.2999999999999999E-2</v>
      </c>
      <c r="C47" s="384">
        <f>IF(E57&gt;0,E57*B47,0)</f>
        <v>0</v>
      </c>
      <c r="D47" s="384"/>
      <c r="E47" s="481"/>
      <c r="F47" s="521"/>
      <c r="G47" s="522"/>
      <c r="H47" s="523"/>
      <c r="I47" s="516" t="e">
        <f>IF(H46="Ja","Fradrag pga. forsinket byggeregnskab","Regnskab modtaget rettigdigt")</f>
        <v>#REF!</v>
      </c>
      <c r="J47" s="517"/>
    </row>
    <row r="48" spans="1:13" x14ac:dyDescent="0.25">
      <c r="B48" s="17" t="s">
        <v>296</v>
      </c>
      <c r="C48" s="380">
        <f>C47+C46+C45+C44+C43</f>
        <v>3000</v>
      </c>
      <c r="D48" s="380"/>
      <c r="E48" s="498"/>
      <c r="F48" s="524"/>
      <c r="G48" s="525"/>
      <c r="H48" s="526"/>
      <c r="I48" s="518"/>
      <c r="J48" s="519"/>
    </row>
    <row r="49" spans="2:10" x14ac:dyDescent="0.25">
      <c r="B49" s="15" t="s">
        <v>376</v>
      </c>
      <c r="C49" s="395">
        <v>100</v>
      </c>
      <c r="D49" s="395"/>
      <c r="E49" s="479"/>
      <c r="F49" s="524"/>
      <c r="G49" s="525"/>
      <c r="H49" s="526"/>
      <c r="I49" s="518"/>
      <c r="J49" s="519"/>
    </row>
    <row r="50" spans="2:10" ht="15.75" thickBot="1" x14ac:dyDescent="0.3">
      <c r="B50" s="16">
        <v>2.5000000000000001E-2</v>
      </c>
      <c r="C50" s="394">
        <v>3946973</v>
      </c>
      <c r="D50" s="394"/>
      <c r="E50" s="29">
        <f>C50/'Ændringer 2'!C49*G35</f>
        <v>0</v>
      </c>
      <c r="F50" s="527"/>
      <c r="G50" s="528"/>
      <c r="H50" s="529"/>
      <c r="I50" s="518"/>
      <c r="J50" s="520"/>
    </row>
    <row r="51" spans="2:10" x14ac:dyDescent="0.25">
      <c r="B51" s="16">
        <v>0.02</v>
      </c>
      <c r="C51" s="394">
        <v>19717704</v>
      </c>
      <c r="D51" s="394"/>
      <c r="E51" s="29">
        <f>C51/C49*G35</f>
        <v>0</v>
      </c>
      <c r="F51" s="507" t="s">
        <v>343</v>
      </c>
      <c r="G51" s="508"/>
      <c r="H51" s="508"/>
      <c r="I51" s="509"/>
    </row>
    <row r="52" spans="2:10" x14ac:dyDescent="0.25">
      <c r="B52" s="16">
        <v>1.4999999999999999E-2</v>
      </c>
      <c r="C52" s="394">
        <v>55181350</v>
      </c>
      <c r="D52" s="394"/>
      <c r="E52" s="29">
        <f>C52/C49*G35</f>
        <v>0</v>
      </c>
      <c r="F52" s="397" t="s">
        <v>344</v>
      </c>
      <c r="G52" s="395"/>
      <c r="H52" s="382">
        <f>Regnskab!L35</f>
        <v>0</v>
      </c>
      <c r="I52" s="480"/>
    </row>
    <row r="53" spans="2:10" x14ac:dyDescent="0.25">
      <c r="B53" s="16">
        <v>1.2999999999999999E-2</v>
      </c>
      <c r="C53" s="417" t="s">
        <v>300</v>
      </c>
      <c r="D53" s="417"/>
      <c r="E53" s="102">
        <f>IF(E41-E52&gt;0,E41-E52,0)</f>
        <v>0</v>
      </c>
      <c r="F53" s="397" t="s">
        <v>345</v>
      </c>
      <c r="G53" s="395"/>
      <c r="H53" s="382" t="b">
        <f>IF('Regnskab - Ansøger'!K15="Ja",Privatejet,IF('Regnskab - Ansøger'!N15="Ja","Selskabsejet"))</f>
        <v>0</v>
      </c>
      <c r="I53" s="480"/>
    </row>
    <row r="54" spans="2:10" ht="15" customHeight="1" x14ac:dyDescent="0.25">
      <c r="B54" s="418" t="s">
        <v>301</v>
      </c>
      <c r="C54" s="419"/>
      <c r="D54" s="419"/>
      <c r="E54" s="103">
        <f>IF(C41&gt;E50,E50,C41)</f>
        <v>0</v>
      </c>
      <c r="F54" s="397" t="s">
        <v>343</v>
      </c>
      <c r="G54" s="395"/>
      <c r="H54" s="510" t="b">
        <f>IF('Regnskab - Ansøger'!K15="Ja",33%,IF('Regnskab - Ansøger'!N15="Ja",30%))</f>
        <v>0</v>
      </c>
      <c r="I54" s="511"/>
    </row>
    <row r="55" spans="2:10" ht="15.75" thickBot="1" x14ac:dyDescent="0.3">
      <c r="B55" s="418"/>
      <c r="C55" s="419"/>
      <c r="D55" s="419"/>
      <c r="E55" s="103">
        <f>IF(C41&gt;(E50+E51),E51,(C41-E50))</f>
        <v>0</v>
      </c>
      <c r="F55" s="512" t="s">
        <v>346</v>
      </c>
      <c r="G55" s="513"/>
      <c r="H55" s="514">
        <f>IF('Regnskab - Ansøger'!I14="Nej",0,H52*H54)</f>
        <v>0</v>
      </c>
      <c r="I55" s="515"/>
    </row>
    <row r="56" spans="2:10" x14ac:dyDescent="0.25">
      <c r="B56" s="418"/>
      <c r="C56" s="419"/>
      <c r="D56" s="419"/>
      <c r="E56" s="103">
        <f>IF(C41&gt;(E50+E51+E52),E52,(C41-(E50+E51)))</f>
        <v>0</v>
      </c>
      <c r="F56" s="507" t="s">
        <v>347</v>
      </c>
      <c r="G56" s="508"/>
      <c r="H56" s="508"/>
      <c r="I56" s="509"/>
    </row>
    <row r="57" spans="2:10" ht="15.75" thickBot="1" x14ac:dyDescent="0.3">
      <c r="B57" s="420"/>
      <c r="C57" s="421"/>
      <c r="D57" s="421"/>
      <c r="E57" s="32">
        <f>IF(E41-(E50+E51+E52)&gt;0,E41-(E50+E51+E52),0)</f>
        <v>0</v>
      </c>
      <c r="F57" s="397" t="s">
        <v>348</v>
      </c>
      <c r="G57" s="395"/>
      <c r="H57" s="533" t="e">
        <f>#REF!</f>
        <v>#REF!</v>
      </c>
      <c r="I57" s="534"/>
    </row>
    <row r="58" spans="2:10" x14ac:dyDescent="0.25">
      <c r="F58" s="397" t="s">
        <v>349</v>
      </c>
      <c r="G58" s="395"/>
      <c r="H58" s="531" t="e">
        <f>(H42-H57)/30</f>
        <v>#VALUE!</v>
      </c>
      <c r="I58" s="532"/>
    </row>
    <row r="59" spans="2:10" ht="15.75" thickBot="1" x14ac:dyDescent="0.3">
      <c r="F59" s="512" t="s">
        <v>350</v>
      </c>
      <c r="G59" s="513"/>
      <c r="H59" s="513" t="e">
        <f>H58*#REF!*'Regnskab - Ansøger'!B42</f>
        <v>#VALUE!</v>
      </c>
      <c r="I59" s="530"/>
    </row>
    <row r="65" spans="8:10" x14ac:dyDescent="0.25">
      <c r="H65" s="164"/>
    </row>
    <row r="66" spans="8:10" x14ac:dyDescent="0.25">
      <c r="H66" s="177"/>
    </row>
    <row r="68" spans="8:10" x14ac:dyDescent="0.25">
      <c r="H68" s="177"/>
    </row>
    <row r="71" spans="8:10" x14ac:dyDescent="0.25">
      <c r="J71" s="178"/>
    </row>
    <row r="72" spans="8:10" x14ac:dyDescent="0.25">
      <c r="J72" s="178"/>
    </row>
    <row r="73" spans="8:10" x14ac:dyDescent="0.25">
      <c r="J73" s="178"/>
    </row>
    <row r="74" spans="8:10" x14ac:dyDescent="0.25">
      <c r="J74" s="178"/>
    </row>
    <row r="75" spans="8:10" x14ac:dyDescent="0.25">
      <c r="J75" s="178"/>
    </row>
    <row r="76" spans="8:10" x14ac:dyDescent="0.25">
      <c r="J76" s="178"/>
    </row>
    <row r="77" spans="8:10" x14ac:dyDescent="0.25">
      <c r="J77" s="178"/>
    </row>
    <row r="78" spans="8:10" x14ac:dyDescent="0.25">
      <c r="J78" s="178"/>
    </row>
    <row r="79" spans="8:10" x14ac:dyDescent="0.25">
      <c r="J79" s="178"/>
    </row>
    <row r="82" spans="8:13" x14ac:dyDescent="0.25">
      <c r="H82" s="179"/>
    </row>
    <row r="83" spans="8:13" x14ac:dyDescent="0.25">
      <c r="H83" s="177"/>
    </row>
    <row r="85" spans="8:13" x14ac:dyDescent="0.25">
      <c r="H85" s="177"/>
    </row>
    <row r="86" spans="8:13" x14ac:dyDescent="0.25">
      <c r="H86" s="176"/>
    </row>
    <row r="87" spans="8:13" x14ac:dyDescent="0.25">
      <c r="M87" s="176"/>
    </row>
    <row r="88" spans="8:13" x14ac:dyDescent="0.25">
      <c r="I88" s="176"/>
      <c r="J88" s="176"/>
      <c r="M88" s="176"/>
    </row>
    <row r="89" spans="8:13" x14ac:dyDescent="0.25">
      <c r="I89" s="176"/>
      <c r="J89" s="176"/>
      <c r="M89" s="176"/>
    </row>
    <row r="90" spans="8:13" x14ac:dyDescent="0.25">
      <c r="I90" s="176"/>
      <c r="J90" s="176"/>
      <c r="M90" s="176"/>
    </row>
    <row r="91" spans="8:13" x14ac:dyDescent="0.25">
      <c r="I91" s="176"/>
      <c r="J91" s="176"/>
      <c r="M91" s="176"/>
    </row>
    <row r="92" spans="8:13" x14ac:dyDescent="0.25">
      <c r="I92" s="176"/>
      <c r="J92" s="176"/>
      <c r="M92" s="176"/>
    </row>
    <row r="93" spans="8:13" x14ac:dyDescent="0.25">
      <c r="I93" s="176"/>
      <c r="J93" s="176"/>
      <c r="M93" s="176"/>
    </row>
    <row r="94" spans="8:13" x14ac:dyDescent="0.25">
      <c r="I94" s="176"/>
      <c r="J94" s="176"/>
      <c r="M94" s="176"/>
    </row>
    <row r="95" spans="8:13" x14ac:dyDescent="0.25">
      <c r="I95" s="176"/>
      <c r="J95" s="176"/>
      <c r="M95" s="176"/>
    </row>
    <row r="96" spans="8:13" x14ac:dyDescent="0.25">
      <c r="I96" s="176"/>
      <c r="J96" s="176"/>
    </row>
    <row r="1048415" spans="6:9" x14ac:dyDescent="0.25">
      <c r="F1048415" s="172"/>
      <c r="G1048415" s="172"/>
      <c r="H1048415" s="172"/>
      <c r="I1048415" s="172"/>
    </row>
    <row r="1048435" spans="2:5" x14ac:dyDescent="0.25">
      <c r="B1048435" s="172"/>
      <c r="C1048435" s="172"/>
      <c r="D1048435" s="172"/>
      <c r="E1048435" s="172"/>
    </row>
  </sheetData>
  <sheetProtection sheet="1" selectLockedCells="1"/>
  <mergeCells count="67">
    <mergeCell ref="A1:K1"/>
    <mergeCell ref="B34:C34"/>
    <mergeCell ref="C43:E43"/>
    <mergeCell ref="F46:G46"/>
    <mergeCell ref="H46:J46"/>
    <mergeCell ref="F41:G41"/>
    <mergeCell ref="H41:J41"/>
    <mergeCell ref="F42:G42"/>
    <mergeCell ref="H42:J42"/>
    <mergeCell ref="F40:G40"/>
    <mergeCell ref="B39:E39"/>
    <mergeCell ref="F39:G39"/>
    <mergeCell ref="H39:J39"/>
    <mergeCell ref="B40:E40"/>
    <mergeCell ref="H40:J40"/>
    <mergeCell ref="B26:C26"/>
    <mergeCell ref="C49:E49"/>
    <mergeCell ref="C44:E44"/>
    <mergeCell ref="C45:E45"/>
    <mergeCell ref="C46:E46"/>
    <mergeCell ref="C41:E41"/>
    <mergeCell ref="C42:E42"/>
    <mergeCell ref="C47:E47"/>
    <mergeCell ref="C48:E48"/>
    <mergeCell ref="B27:C27"/>
    <mergeCell ref="B28:C28"/>
    <mergeCell ref="C2:D2"/>
    <mergeCell ref="B21:D21"/>
    <mergeCell ref="B22:D22"/>
    <mergeCell ref="B23:C23"/>
    <mergeCell ref="B24:C24"/>
    <mergeCell ref="B29:C29"/>
    <mergeCell ref="B30:C30"/>
    <mergeCell ref="B31:C31"/>
    <mergeCell ref="B32:C32"/>
    <mergeCell ref="B33:C33"/>
    <mergeCell ref="C53:D53"/>
    <mergeCell ref="B54:D57"/>
    <mergeCell ref="C50:D50"/>
    <mergeCell ref="C51:D51"/>
    <mergeCell ref="C52:D52"/>
    <mergeCell ref="F57:G57"/>
    <mergeCell ref="F58:G58"/>
    <mergeCell ref="F59:G59"/>
    <mergeCell ref="H59:I59"/>
    <mergeCell ref="H58:I58"/>
    <mergeCell ref="H57:I57"/>
    <mergeCell ref="F51:I51"/>
    <mergeCell ref="I47:J50"/>
    <mergeCell ref="F52:G52"/>
    <mergeCell ref="H52:I52"/>
    <mergeCell ref="F53:G53"/>
    <mergeCell ref="H53:I53"/>
    <mergeCell ref="F47:H50"/>
    <mergeCell ref="F56:I56"/>
    <mergeCell ref="F54:G54"/>
    <mergeCell ref="H54:I54"/>
    <mergeCell ref="F55:G55"/>
    <mergeCell ref="H55:I55"/>
    <mergeCell ref="B38:E38"/>
    <mergeCell ref="F38:I38"/>
    <mergeCell ref="F45:G45"/>
    <mergeCell ref="H45:J45"/>
    <mergeCell ref="F44:G44"/>
    <mergeCell ref="H44:J44"/>
    <mergeCell ref="F43:G43"/>
    <mergeCell ref="H43:J43"/>
  </mergeCells>
  <conditionalFormatting sqref="E55">
    <cfRule type="expression" dxfId="13" priority="22">
      <formula>E55&lt;0</formula>
    </cfRule>
  </conditionalFormatting>
  <conditionalFormatting sqref="E56">
    <cfRule type="expression" dxfId="12" priority="21">
      <formula>E56&lt;0</formula>
    </cfRule>
  </conditionalFormatting>
  <conditionalFormatting sqref="H46:J46">
    <cfRule type="expression" dxfId="7" priority="16">
      <formula>$H$46="Ja"</formula>
    </cfRule>
  </conditionalFormatting>
  <conditionalFormatting sqref="I47:J50">
    <cfRule type="expression" dxfId="6" priority="9">
      <formula>$H$46="Nej"</formula>
    </cfRule>
    <cfRule type="expression" dxfId="5" priority="10">
      <formula>$H$46="Ja"</formula>
    </cfRule>
  </conditionalFormatting>
  <conditionalFormatting sqref="M3:M34">
    <cfRule type="expression" dxfId="4" priority="4">
      <formula>F3+H3&gt;G3+I3</formula>
    </cfRule>
  </conditionalFormatting>
  <hyperlinks>
    <hyperlink ref="B38" r:id="rId1" xr:uid="{3C4DBD9B-7A32-475B-AE89-BE8DD4C6A3C8}"/>
  </hyperlinks>
  <pageMargins left="0" right="0" top="0" bottom="0" header="0" footer="0"/>
  <pageSetup paperSize="9" scale="64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4" r:id="rId5" name="Button 2">
              <controlPr defaultSize="0" print="0" autoFill="0" autoPict="0" macro="[0]!Print_regnskab">
                <anchor moveWithCells="1" sizeWithCells="1">
                  <from>
                    <xdr:col>5</xdr:col>
                    <xdr:colOff>876300</xdr:colOff>
                    <xdr:row>46</xdr:row>
                    <xdr:rowOff>152400</xdr:rowOff>
                  </from>
                  <to>
                    <xdr:col>7</xdr:col>
                    <xdr:colOff>342900</xdr:colOff>
                    <xdr:row>49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" stopIfTrue="1" id="{C61B6735-B7CC-4CE3-95BA-C53E223B9677}">
            <xm:f>IF(Ansøgning!$H$92&gt;15%,1,0)</xm:f>
            <x14:dxf>
              <numFmt numFmtId="173" formatCode="&quot;Der kan maksimalt godkendes 15%&quot;"/>
            </x14:dxf>
          </x14:cfRule>
          <xm:sqref>E25</xm:sqref>
        </x14:conditionalFormatting>
        <x14:conditionalFormatting xmlns:xm="http://schemas.microsoft.com/office/excel/2006/main">
          <x14:cfRule type="expression" priority="19" stopIfTrue="1" id="{7F4E0F1B-5AEE-42ED-965E-DC5DA2B489C3}">
            <xm:f>IF(Ansøgning!$H$92&gt;15%,1,0)</xm:f>
            <x14:dxf>
              <numFmt numFmtId="173" formatCode="&quot;Der kan maksimalt godkendes 15%&quot;"/>
            </x14:dxf>
          </x14:cfRule>
          <xm:sqref>E33:E34</xm:sqref>
        </x14:conditionalFormatting>
        <x14:conditionalFormatting xmlns:xm="http://schemas.microsoft.com/office/excel/2006/main">
          <x14:cfRule type="expression" priority="1" stopIfTrue="1" id="{F5025641-23D8-4A9C-B241-4ACD9FFD98EA}">
            <xm:f>'Regnskab - Ansøger'!$I$14="Nej"</xm:f>
            <x14:dxf>
              <fill>
                <patternFill patternType="lightUp"/>
              </fill>
            </x14:dxf>
          </x14:cfRule>
          <x14:cfRule type="expression" priority="2" stopIfTrue="1" id="{9C84E463-93C3-48BE-869D-12722660A97F}">
            <xm:f>'Regnskab - Ansøger'!$B$15="Ja"</xm:f>
            <x14:dxf>
              <fill>
                <patternFill patternType="lightUp"/>
              </fill>
            </x14:dxf>
          </x14:cfRule>
          <xm:sqref>F3:F21</xm:sqref>
        </x14:conditionalFormatting>
        <x14:conditionalFormatting xmlns:xm="http://schemas.microsoft.com/office/excel/2006/main">
          <x14:cfRule type="expression" priority="5" id="{0D5DAE1D-F5FC-4FD6-AECD-32C6D8B87855}">
            <xm:f>'Regnskab - Ansøger'!$B$14="Ja"</xm:f>
            <x14:dxf>
              <fill>
                <patternFill patternType="lightUp"/>
              </fill>
            </x14:dxf>
          </x14:cfRule>
          <x14:cfRule type="expression" priority="6" id="{F130C892-4A99-40A7-9C03-6C12B512232E}">
            <xm:f>'Regnskab - Ansøger'!$B$15="Ja"</xm:f>
            <x14:dxf>
              <fill>
                <patternFill patternType="lightUp"/>
              </fill>
            </x14:dxf>
          </x14:cfRule>
          <xm:sqref>F51:I55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5">
    <tabColor theme="3" tint="-0.249977111117893"/>
  </sheetPr>
  <dimension ref="A1:N1048420"/>
  <sheetViews>
    <sheetView topLeftCell="A16" zoomScaleNormal="100" workbookViewId="0">
      <selection activeCell="L49" sqref="L49"/>
    </sheetView>
  </sheetViews>
  <sheetFormatPr defaultColWidth="9.140625" defaultRowHeight="15" x14ac:dyDescent="0.25"/>
  <cols>
    <col min="1" max="1" width="1.42578125" style="153" customWidth="1"/>
    <col min="2" max="9" width="5.7109375" style="153" customWidth="1"/>
    <col min="10" max="13" width="16.42578125" style="153" customWidth="1"/>
    <col min="14" max="14" width="1.42578125" style="153" customWidth="1"/>
    <col min="15" max="16384" width="9.140625" style="153"/>
  </cols>
  <sheetData>
    <row r="1" spans="1:14" ht="15.75" thickBot="1" x14ac:dyDescent="0.3">
      <c r="A1" s="457" t="str">
        <f>"Samlede ombygningsudgifter - Byggeregnskab | "&amp;'Fakta ark'!I3</f>
        <v>Samlede ombygningsudgifter - Byggeregnskab | Vejnavn(e)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</row>
    <row r="2" spans="1:14" ht="16.5" customHeight="1" thickBot="1" x14ac:dyDescent="0.3">
      <c r="A2" s="45"/>
      <c r="B2" s="458" t="s">
        <v>174</v>
      </c>
      <c r="C2" s="459"/>
      <c r="D2" s="459"/>
      <c r="E2" s="459"/>
      <c r="F2" s="459"/>
      <c r="G2" s="460"/>
      <c r="H2" s="458"/>
      <c r="I2" s="460"/>
      <c r="J2" s="78" t="s">
        <v>175</v>
      </c>
      <c r="K2" s="78" t="s">
        <v>176</v>
      </c>
      <c r="L2" s="78" t="s">
        <v>177</v>
      </c>
      <c r="M2" s="78" t="s">
        <v>178</v>
      </c>
      <c r="N2" s="45"/>
    </row>
    <row r="3" spans="1:14" ht="45" customHeight="1" x14ac:dyDescent="0.25">
      <c r="A3" s="45"/>
      <c r="B3" s="461" t="s">
        <v>179</v>
      </c>
      <c r="C3" s="462"/>
      <c r="D3" s="462"/>
      <c r="E3" s="462"/>
      <c r="F3" s="462"/>
      <c r="G3" s="463"/>
      <c r="H3" s="46" t="s">
        <v>180</v>
      </c>
      <c r="I3" s="46"/>
      <c r="J3" s="79" t="s">
        <v>148</v>
      </c>
      <c r="K3" s="79" t="s">
        <v>181</v>
      </c>
      <c r="L3" s="80" t="str">
        <f>IF('Regnskab - Ansøger'!F15="Ja","Vedligeholdelse","Støttede arbejder")</f>
        <v>Støttede arbejder</v>
      </c>
      <c r="M3" s="80" t="s">
        <v>354</v>
      </c>
      <c r="N3" s="45"/>
    </row>
    <row r="4" spans="1:14" x14ac:dyDescent="0.25">
      <c r="A4" s="45"/>
      <c r="B4" s="48" t="s">
        <v>182</v>
      </c>
      <c r="C4" s="442" t="s">
        <v>183</v>
      </c>
      <c r="D4" s="443"/>
      <c r="E4" s="443"/>
      <c r="F4" s="443"/>
      <c r="G4" s="444"/>
      <c r="H4" s="47" t="s">
        <v>184</v>
      </c>
      <c r="I4" s="58">
        <f>'Ændringer 2'!D3</f>
        <v>0</v>
      </c>
      <c r="J4" s="77">
        <f t="shared" ref="J4:J21" si="0">+K4+L4+M4</f>
        <v>0</v>
      </c>
      <c r="K4" s="77">
        <f>'Ændringer 2'!F3</f>
        <v>0</v>
      </c>
      <c r="L4" s="77">
        <f>'Ændringer 2'!H3</f>
        <v>0</v>
      </c>
      <c r="M4" s="77">
        <f>'Regnskab - Ansøger'!P69+'Ændringer 2'!J3</f>
        <v>0</v>
      </c>
      <c r="N4" s="45"/>
    </row>
    <row r="5" spans="1:14" x14ac:dyDescent="0.25">
      <c r="A5" s="45"/>
      <c r="B5" s="48" t="s">
        <v>185</v>
      </c>
      <c r="C5" s="442" t="s">
        <v>186</v>
      </c>
      <c r="D5" s="443"/>
      <c r="E5" s="443"/>
      <c r="F5" s="443"/>
      <c r="G5" s="444"/>
      <c r="H5" s="47" t="s">
        <v>184</v>
      </c>
      <c r="I5" s="58">
        <f>'Ændringer 2'!D4</f>
        <v>0</v>
      </c>
      <c r="J5" s="77">
        <f t="shared" si="0"/>
        <v>0</v>
      </c>
      <c r="K5" s="77">
        <f>'Ændringer 2'!F4</f>
        <v>0</v>
      </c>
      <c r="L5" s="77">
        <f>'Ændringer 2'!H4</f>
        <v>0</v>
      </c>
      <c r="M5" s="77">
        <f>'Regnskab - Ansøger'!P70+'Ændringer 2'!J4</f>
        <v>0</v>
      </c>
      <c r="N5" s="45"/>
    </row>
    <row r="6" spans="1:14" x14ac:dyDescent="0.25">
      <c r="A6" s="45"/>
      <c r="B6" s="48" t="s">
        <v>187</v>
      </c>
      <c r="C6" s="442" t="s">
        <v>188</v>
      </c>
      <c r="D6" s="443"/>
      <c r="E6" s="443"/>
      <c r="F6" s="443"/>
      <c r="G6" s="444"/>
      <c r="H6" s="47" t="s">
        <v>184</v>
      </c>
      <c r="I6" s="58">
        <f>'Ændringer 2'!D5</f>
        <v>0</v>
      </c>
      <c r="J6" s="77">
        <f t="shared" si="0"/>
        <v>0</v>
      </c>
      <c r="K6" s="77">
        <f>'Ændringer 2'!F5</f>
        <v>0</v>
      </c>
      <c r="L6" s="77">
        <f>'Ændringer 2'!H5</f>
        <v>0</v>
      </c>
      <c r="M6" s="77">
        <f>'Regnskab - Ansøger'!P71+'Ændringer 2'!J5</f>
        <v>0</v>
      </c>
      <c r="N6" s="45"/>
    </row>
    <row r="7" spans="1:14" x14ac:dyDescent="0.25">
      <c r="A7" s="45"/>
      <c r="B7" s="48" t="s">
        <v>189</v>
      </c>
      <c r="C7" s="442" t="s">
        <v>190</v>
      </c>
      <c r="D7" s="443"/>
      <c r="E7" s="443"/>
      <c r="F7" s="443"/>
      <c r="G7" s="444"/>
      <c r="H7" s="47" t="s">
        <v>191</v>
      </c>
      <c r="I7" s="58">
        <f>'Ændringer 2'!D6</f>
        <v>0</v>
      </c>
      <c r="J7" s="77">
        <f t="shared" si="0"/>
        <v>0</v>
      </c>
      <c r="K7" s="77">
        <f>'Ændringer 2'!F6</f>
        <v>0</v>
      </c>
      <c r="L7" s="77">
        <f>'Ændringer 2'!H6</f>
        <v>0</v>
      </c>
      <c r="M7" s="77">
        <f>'Regnskab - Ansøger'!P72+'Ændringer 2'!J6</f>
        <v>0</v>
      </c>
      <c r="N7" s="45"/>
    </row>
    <row r="8" spans="1:14" x14ac:dyDescent="0.25">
      <c r="A8" s="45"/>
      <c r="B8" s="48" t="s">
        <v>192</v>
      </c>
      <c r="C8" s="442" t="s">
        <v>193</v>
      </c>
      <c r="D8" s="443"/>
      <c r="E8" s="443"/>
      <c r="F8" s="443"/>
      <c r="G8" s="444"/>
      <c r="H8" s="47" t="s">
        <v>191</v>
      </c>
      <c r="I8" s="58">
        <f>'Ændringer 2'!D7</f>
        <v>0</v>
      </c>
      <c r="J8" s="77">
        <f t="shared" si="0"/>
        <v>0</v>
      </c>
      <c r="K8" s="77">
        <f>'Ændringer 2'!F7</f>
        <v>0</v>
      </c>
      <c r="L8" s="77">
        <f>'Ændringer 2'!H7</f>
        <v>0</v>
      </c>
      <c r="M8" s="77">
        <f>'Regnskab - Ansøger'!P73+'Ændringer 2'!J7</f>
        <v>0</v>
      </c>
      <c r="N8" s="45"/>
    </row>
    <row r="9" spans="1:14" x14ac:dyDescent="0.25">
      <c r="A9" s="45"/>
      <c r="B9" s="48" t="s">
        <v>194</v>
      </c>
      <c r="C9" s="442" t="s">
        <v>195</v>
      </c>
      <c r="D9" s="443"/>
      <c r="E9" s="443"/>
      <c r="F9" s="443"/>
      <c r="G9" s="444"/>
      <c r="H9" s="47" t="s">
        <v>191</v>
      </c>
      <c r="I9" s="58">
        <f>'Ændringer 2'!D8</f>
        <v>0</v>
      </c>
      <c r="J9" s="77">
        <f t="shared" si="0"/>
        <v>0</v>
      </c>
      <c r="K9" s="77">
        <f>'Ændringer 2'!F8</f>
        <v>0</v>
      </c>
      <c r="L9" s="77">
        <f>'Ændringer 2'!H8</f>
        <v>0</v>
      </c>
      <c r="M9" s="77">
        <f>'Regnskab - Ansøger'!P74+'Ændringer 2'!J8</f>
        <v>0</v>
      </c>
      <c r="N9" s="45"/>
    </row>
    <row r="10" spans="1:14" x14ac:dyDescent="0.25">
      <c r="A10" s="45"/>
      <c r="B10" s="48" t="s">
        <v>196</v>
      </c>
      <c r="C10" s="442" t="s">
        <v>197</v>
      </c>
      <c r="D10" s="443"/>
      <c r="E10" s="443"/>
      <c r="F10" s="443"/>
      <c r="G10" s="444"/>
      <c r="H10" s="47" t="s">
        <v>191</v>
      </c>
      <c r="I10" s="58">
        <f>'Ændringer 2'!D9</f>
        <v>0</v>
      </c>
      <c r="J10" s="77">
        <f t="shared" si="0"/>
        <v>0</v>
      </c>
      <c r="K10" s="77">
        <f>'Ændringer 2'!F9</f>
        <v>0</v>
      </c>
      <c r="L10" s="77">
        <f>'Ændringer 2'!H9</f>
        <v>0</v>
      </c>
      <c r="M10" s="77">
        <f>'Regnskab - Ansøger'!P75+'Ændringer 2'!J9</f>
        <v>0</v>
      </c>
      <c r="N10" s="45"/>
    </row>
    <row r="11" spans="1:14" ht="15" customHeight="1" x14ac:dyDescent="0.25">
      <c r="A11" s="45"/>
      <c r="B11" s="48" t="s">
        <v>198</v>
      </c>
      <c r="C11" s="442" t="s">
        <v>199</v>
      </c>
      <c r="D11" s="443"/>
      <c r="E11" s="443"/>
      <c r="F11" s="443"/>
      <c r="G11" s="444"/>
      <c r="H11" s="47" t="s">
        <v>200</v>
      </c>
      <c r="I11" s="58">
        <f>'Ændringer 2'!D10</f>
        <v>0</v>
      </c>
      <c r="J11" s="77">
        <f t="shared" si="0"/>
        <v>0</v>
      </c>
      <c r="K11" s="77">
        <f>'Ændringer 2'!F10</f>
        <v>0</v>
      </c>
      <c r="L11" s="77">
        <f>'Ændringer 2'!H10</f>
        <v>0</v>
      </c>
      <c r="M11" s="77">
        <f>'Regnskab - Ansøger'!P76+'Ændringer 2'!J10</f>
        <v>0</v>
      </c>
      <c r="N11" s="45"/>
    </row>
    <row r="12" spans="1:14" x14ac:dyDescent="0.25">
      <c r="A12" s="45"/>
      <c r="B12" s="48" t="s">
        <v>201</v>
      </c>
      <c r="C12" s="442" t="s">
        <v>202</v>
      </c>
      <c r="D12" s="443"/>
      <c r="E12" s="443"/>
      <c r="F12" s="443"/>
      <c r="G12" s="444"/>
      <c r="H12" s="47" t="s">
        <v>191</v>
      </c>
      <c r="I12" s="58" t="str">
        <f>'Ændringer 2'!D11</f>
        <v>0/0</v>
      </c>
      <c r="J12" s="77">
        <f t="shared" si="0"/>
        <v>0</v>
      </c>
      <c r="K12" s="77">
        <f>'Ændringer 2'!F11</f>
        <v>0</v>
      </c>
      <c r="L12" s="77">
        <f>'Ændringer 2'!H11</f>
        <v>0</v>
      </c>
      <c r="M12" s="77">
        <f>'Regnskab - Ansøger'!P77+'Ændringer 2'!J11</f>
        <v>0</v>
      </c>
      <c r="N12" s="45"/>
    </row>
    <row r="13" spans="1:14" x14ac:dyDescent="0.25">
      <c r="A13" s="45"/>
      <c r="B13" s="48" t="s">
        <v>203</v>
      </c>
      <c r="C13" s="442" t="s">
        <v>204</v>
      </c>
      <c r="D13" s="443"/>
      <c r="E13" s="443"/>
      <c r="F13" s="443"/>
      <c r="G13" s="444"/>
      <c r="H13" s="47" t="s">
        <v>191</v>
      </c>
      <c r="I13" s="58">
        <f>'Ændringer 2'!D12</f>
        <v>0</v>
      </c>
      <c r="J13" s="77">
        <f t="shared" si="0"/>
        <v>0</v>
      </c>
      <c r="K13" s="77">
        <f>'Ændringer 2'!F12</f>
        <v>0</v>
      </c>
      <c r="L13" s="77">
        <f>'Ændringer 2'!H12</f>
        <v>0</v>
      </c>
      <c r="M13" s="77">
        <f>'Regnskab - Ansøger'!P78+'Ændringer 2'!J12</f>
        <v>0</v>
      </c>
      <c r="N13" s="45"/>
    </row>
    <row r="14" spans="1:14" x14ac:dyDescent="0.25">
      <c r="A14" s="45"/>
      <c r="B14" s="48" t="s">
        <v>205</v>
      </c>
      <c r="C14" s="442" t="s">
        <v>206</v>
      </c>
      <c r="D14" s="443"/>
      <c r="E14" s="443"/>
      <c r="F14" s="443"/>
      <c r="G14" s="444"/>
      <c r="H14" s="47" t="s">
        <v>207</v>
      </c>
      <c r="I14" s="58">
        <f>'Ændringer 2'!D13</f>
        <v>0</v>
      </c>
      <c r="J14" s="77">
        <f t="shared" si="0"/>
        <v>0</v>
      </c>
      <c r="K14" s="77">
        <f>'Ændringer 2'!F13</f>
        <v>0</v>
      </c>
      <c r="L14" s="77">
        <f>'Ændringer 2'!H13</f>
        <v>0</v>
      </c>
      <c r="M14" s="77">
        <f>'Regnskab - Ansøger'!P79+'Ændringer 2'!J13</f>
        <v>0</v>
      </c>
      <c r="N14" s="45"/>
    </row>
    <row r="15" spans="1:14" x14ac:dyDescent="0.25">
      <c r="A15" s="45"/>
      <c r="B15" s="48" t="s">
        <v>208</v>
      </c>
      <c r="C15" s="442" t="s">
        <v>209</v>
      </c>
      <c r="D15" s="443"/>
      <c r="E15" s="443"/>
      <c r="F15" s="443"/>
      <c r="G15" s="444"/>
      <c r="H15" s="47" t="s">
        <v>207</v>
      </c>
      <c r="I15" s="58">
        <f>'Ændringer 2'!D14</f>
        <v>0</v>
      </c>
      <c r="J15" s="77">
        <f t="shared" si="0"/>
        <v>0</v>
      </c>
      <c r="K15" s="77">
        <f>'Ændringer 2'!F14</f>
        <v>0</v>
      </c>
      <c r="L15" s="77">
        <f>'Ændringer 2'!H14</f>
        <v>0</v>
      </c>
      <c r="M15" s="77">
        <f>'Regnskab - Ansøger'!P80+'Ændringer 2'!J14</f>
        <v>0</v>
      </c>
      <c r="N15" s="45"/>
    </row>
    <row r="16" spans="1:14" x14ac:dyDescent="0.25">
      <c r="A16" s="45"/>
      <c r="B16" s="48" t="s">
        <v>210</v>
      </c>
      <c r="C16" s="442" t="s">
        <v>211</v>
      </c>
      <c r="D16" s="443"/>
      <c r="E16" s="443"/>
      <c r="F16" s="443"/>
      <c r="G16" s="444"/>
      <c r="H16" s="47" t="s">
        <v>191</v>
      </c>
      <c r="I16" s="58">
        <f>'Ændringer 2'!D15</f>
        <v>0</v>
      </c>
      <c r="J16" s="77">
        <f t="shared" si="0"/>
        <v>0</v>
      </c>
      <c r="K16" s="77">
        <f>'Ændringer 2'!F15</f>
        <v>0</v>
      </c>
      <c r="L16" s="77">
        <f>'Ændringer 2'!H15</f>
        <v>0</v>
      </c>
      <c r="M16" s="77">
        <f>'Regnskab - Ansøger'!P81+'Ændringer 2'!J15</f>
        <v>0</v>
      </c>
      <c r="N16" s="45"/>
    </row>
    <row r="17" spans="1:14" x14ac:dyDescent="0.25">
      <c r="A17" s="45"/>
      <c r="B17" s="48" t="s">
        <v>212</v>
      </c>
      <c r="C17" s="442" t="s">
        <v>213</v>
      </c>
      <c r="D17" s="443"/>
      <c r="E17" s="443"/>
      <c r="F17" s="443"/>
      <c r="G17" s="444"/>
      <c r="H17" s="47" t="s">
        <v>207</v>
      </c>
      <c r="I17" s="58">
        <f>'Ændringer 2'!D16</f>
        <v>0</v>
      </c>
      <c r="J17" s="77">
        <f t="shared" si="0"/>
        <v>0</v>
      </c>
      <c r="K17" s="77">
        <f>'Ændringer 2'!F16</f>
        <v>0</v>
      </c>
      <c r="L17" s="77">
        <f>'Ændringer 2'!H16</f>
        <v>0</v>
      </c>
      <c r="M17" s="77">
        <f>'Regnskab - Ansøger'!P82+'Ændringer 2'!J16</f>
        <v>0</v>
      </c>
      <c r="N17" s="45"/>
    </row>
    <row r="18" spans="1:14" x14ac:dyDescent="0.25">
      <c r="A18" s="45"/>
      <c r="B18" s="48" t="s">
        <v>214</v>
      </c>
      <c r="C18" s="442" t="s">
        <v>215</v>
      </c>
      <c r="D18" s="443"/>
      <c r="E18" s="443"/>
      <c r="F18" s="443"/>
      <c r="G18" s="444"/>
      <c r="H18" s="47" t="s">
        <v>207</v>
      </c>
      <c r="I18" s="58">
        <f>'Ændringer 2'!D17</f>
        <v>0</v>
      </c>
      <c r="J18" s="77">
        <f t="shared" si="0"/>
        <v>0</v>
      </c>
      <c r="K18" s="77">
        <f>'Ændringer 2'!F17</f>
        <v>0</v>
      </c>
      <c r="L18" s="77">
        <f>'Ændringer 2'!H17</f>
        <v>0</v>
      </c>
      <c r="M18" s="77">
        <f>'Regnskab - Ansøger'!P83+'Ændringer 2'!J17</f>
        <v>0</v>
      </c>
      <c r="N18" s="45"/>
    </row>
    <row r="19" spans="1:14" x14ac:dyDescent="0.25">
      <c r="A19" s="45"/>
      <c r="B19" s="48" t="s">
        <v>216</v>
      </c>
      <c r="C19" s="442" t="s">
        <v>217</v>
      </c>
      <c r="D19" s="443"/>
      <c r="E19" s="443"/>
      <c r="F19" s="443"/>
      <c r="G19" s="444"/>
      <c r="H19" s="47" t="s">
        <v>207</v>
      </c>
      <c r="I19" s="58">
        <f>'Ændringer 2'!D18</f>
        <v>0</v>
      </c>
      <c r="J19" s="77">
        <f t="shared" si="0"/>
        <v>0</v>
      </c>
      <c r="K19" s="77">
        <f>'Ændringer 2'!F18</f>
        <v>0</v>
      </c>
      <c r="L19" s="77">
        <f>'Ændringer 2'!H18</f>
        <v>0</v>
      </c>
      <c r="M19" s="77">
        <f>'Regnskab - Ansøger'!P84+'Ændringer 2'!J18</f>
        <v>0</v>
      </c>
      <c r="N19" s="45"/>
    </row>
    <row r="20" spans="1:14" x14ac:dyDescent="0.25">
      <c r="A20" s="45"/>
      <c r="B20" s="48" t="s">
        <v>218</v>
      </c>
      <c r="C20" s="442" t="s">
        <v>219</v>
      </c>
      <c r="D20" s="443"/>
      <c r="E20" s="443"/>
      <c r="F20" s="443"/>
      <c r="G20" s="444"/>
      <c r="H20" s="47" t="s">
        <v>207</v>
      </c>
      <c r="I20" s="58">
        <f>'Ændringer 2'!D19</f>
        <v>0</v>
      </c>
      <c r="J20" s="77">
        <f t="shared" si="0"/>
        <v>0</v>
      </c>
      <c r="K20" s="77">
        <f>'Ændringer 2'!F19</f>
        <v>0</v>
      </c>
      <c r="L20" s="77">
        <f>'Ændringer 2'!H19</f>
        <v>0</v>
      </c>
      <c r="M20" s="77">
        <f>'Regnskab - Ansøger'!P85+'Ændringer 2'!J19</f>
        <v>0</v>
      </c>
      <c r="N20" s="45"/>
    </row>
    <row r="21" spans="1:14" x14ac:dyDescent="0.25">
      <c r="A21" s="45"/>
      <c r="B21" s="48" t="s">
        <v>220</v>
      </c>
      <c r="C21" s="441" t="s">
        <v>221</v>
      </c>
      <c r="D21" s="441"/>
      <c r="E21" s="441"/>
      <c r="F21" s="441"/>
      <c r="G21" s="441"/>
      <c r="H21" s="49" t="s">
        <v>200</v>
      </c>
      <c r="I21" s="58">
        <f>'Ændringer 2'!D20</f>
        <v>0</v>
      </c>
      <c r="J21" s="81">
        <f t="shared" si="0"/>
        <v>0</v>
      </c>
      <c r="K21" s="77">
        <f>'Ændringer 2'!F20</f>
        <v>0</v>
      </c>
      <c r="L21" s="77">
        <f>'Ændringer 2'!H20</f>
        <v>0</v>
      </c>
      <c r="M21" s="77">
        <f>'Regnskab - Ansøger'!P86+'Ændringer 2'!J20</f>
        <v>0</v>
      </c>
      <c r="N21" s="45"/>
    </row>
    <row r="22" spans="1:14" x14ac:dyDescent="0.25">
      <c r="A22" s="45"/>
      <c r="B22" s="45"/>
      <c r="C22" s="451" t="s">
        <v>222</v>
      </c>
      <c r="D22" s="451"/>
      <c r="E22" s="451"/>
      <c r="F22" s="451"/>
      <c r="G22" s="451"/>
      <c r="H22" s="451"/>
      <c r="I22" s="451"/>
      <c r="J22" s="451"/>
      <c r="K22" s="83">
        <f>IF(SUM(K4:K21)=0,0,SUM(K4:K21)/SUM($J$4:$J$21))</f>
        <v>0</v>
      </c>
      <c r="L22" s="83">
        <f>IF(SUM(L4:L21)=0,0,SUM(L4:L21)/SUM($J$4:$J$21))</f>
        <v>0</v>
      </c>
      <c r="M22" s="83">
        <f>IF(SUM(M4:M21)=0,0,SUM(M4:M21)/SUM($J$4:$J$21))</f>
        <v>0</v>
      </c>
      <c r="N22" s="45"/>
    </row>
    <row r="23" spans="1:14" ht="15" customHeight="1" x14ac:dyDescent="0.25">
      <c r="A23" s="45"/>
      <c r="B23" s="45"/>
      <c r="C23" s="455" t="s">
        <v>223</v>
      </c>
      <c r="D23" s="456"/>
      <c r="E23" s="456"/>
      <c r="F23" s="456"/>
      <c r="G23" s="456"/>
      <c r="H23" s="456"/>
      <c r="I23" s="456"/>
      <c r="J23" s="456"/>
      <c r="K23" s="545"/>
      <c r="L23" s="50"/>
      <c r="M23" s="50"/>
      <c r="N23" s="51"/>
    </row>
    <row r="24" spans="1:14" x14ac:dyDescent="0.25">
      <c r="A24" s="45"/>
      <c r="B24" s="45"/>
      <c r="C24" s="455" t="s">
        <v>224</v>
      </c>
      <c r="D24" s="456"/>
      <c r="E24" s="456"/>
      <c r="F24" s="456"/>
      <c r="G24" s="456"/>
      <c r="H24" s="456"/>
      <c r="I24" s="456"/>
      <c r="J24" s="456"/>
      <c r="K24" s="85">
        <f>IF(K4+K6+K7=0,0,(K4+K6+K7)/($J$4+$J$6+$J$7))</f>
        <v>0</v>
      </c>
      <c r="L24" s="85">
        <f>IF(L4+L6+L7=0,0,(L4+L6+L7)/($J$4+$J$6+$J$7))</f>
        <v>0</v>
      </c>
      <c r="M24" s="83">
        <f>IF(M4+M6+M7=0,0,(M4+M6+M7)/($J$4+$J$6+$J$7))</f>
        <v>0</v>
      </c>
      <c r="N24" s="45"/>
    </row>
    <row r="25" spans="1:14" x14ac:dyDescent="0.25">
      <c r="A25" s="45"/>
      <c r="B25" s="48" t="s">
        <v>225</v>
      </c>
      <c r="C25" s="442" t="s">
        <v>226</v>
      </c>
      <c r="D25" s="443"/>
      <c r="E25" s="443"/>
      <c r="F25" s="443"/>
      <c r="G25" s="443"/>
      <c r="H25" s="443"/>
      <c r="I25" s="444"/>
      <c r="J25" s="82">
        <f>+K25+L25+M25</f>
        <v>0</v>
      </c>
      <c r="K25" s="82">
        <f>'Ændringer 2'!$H$23*K$24</f>
        <v>0</v>
      </c>
      <c r="L25" s="82">
        <f>'Ændringer 2'!$H$23*L$24</f>
        <v>0</v>
      </c>
      <c r="M25" s="89">
        <f>'Regnskab - Ansøger'!J90-(K25+L25)</f>
        <v>0</v>
      </c>
      <c r="N25" s="45"/>
    </row>
    <row r="26" spans="1:14" ht="15.75" thickBot="1" x14ac:dyDescent="0.3">
      <c r="A26" s="45"/>
      <c r="B26" s="57" t="s">
        <v>227</v>
      </c>
      <c r="C26" s="452" t="s">
        <v>228</v>
      </c>
      <c r="D26" s="453"/>
      <c r="E26" s="453"/>
      <c r="F26" s="453"/>
      <c r="G26" s="453"/>
      <c r="H26" s="453"/>
      <c r="I26" s="454"/>
      <c r="J26" s="82">
        <f>+K26+L26+M26</f>
        <v>0</v>
      </c>
      <c r="K26" s="82">
        <f>'Ændringer 2'!$H$24*K$22</f>
        <v>0</v>
      </c>
      <c r="L26" s="82">
        <f>'Ændringer 2'!$H$24*L$22</f>
        <v>0</v>
      </c>
      <c r="M26" s="89">
        <f>'Regnskab - Ansøger'!J91-(K26+L26)</f>
        <v>0</v>
      </c>
      <c r="N26" s="45"/>
    </row>
    <row r="27" spans="1:14" ht="15.75" thickBot="1" x14ac:dyDescent="0.3">
      <c r="A27" s="45"/>
      <c r="B27" s="52" t="s">
        <v>229</v>
      </c>
      <c r="C27" s="542" t="s">
        <v>230</v>
      </c>
      <c r="D27" s="543"/>
      <c r="E27" s="543"/>
      <c r="F27" s="543"/>
      <c r="G27" s="543"/>
      <c r="H27" s="543"/>
      <c r="I27" s="544"/>
      <c r="J27" s="88">
        <f>SUM(K27:M27)</f>
        <v>0</v>
      </c>
      <c r="K27" s="88">
        <f>SUM(K4:K21)+K25+K26</f>
        <v>0</v>
      </c>
      <c r="L27" s="88">
        <f>SUM(L4:L21)+L25+L26</f>
        <v>0</v>
      </c>
      <c r="M27" s="92">
        <f>SUM(M4:M21)+M25+M26</f>
        <v>0</v>
      </c>
      <c r="N27" s="45"/>
    </row>
    <row r="28" spans="1:14" ht="15" customHeight="1" x14ac:dyDescent="0.25">
      <c r="A28" s="546"/>
      <c r="B28" s="546"/>
      <c r="C28" s="546"/>
      <c r="D28" s="546"/>
      <c r="E28" s="546"/>
      <c r="F28" s="546"/>
      <c r="G28" s="546"/>
      <c r="H28" s="546"/>
      <c r="I28" s="546"/>
      <c r="J28" s="546"/>
      <c r="K28" s="546"/>
      <c r="L28" s="546"/>
      <c r="M28" s="546"/>
      <c r="N28" s="546"/>
    </row>
    <row r="29" spans="1:14" ht="15.75" thickBot="1" x14ac:dyDescent="0.3">
      <c r="A29" s="45"/>
      <c r="B29" s="55"/>
      <c r="C29" s="439" t="s">
        <v>231</v>
      </c>
      <c r="D29" s="440"/>
      <c r="E29" s="440"/>
      <c r="F29" s="440"/>
      <c r="G29" s="440"/>
      <c r="H29" s="440"/>
      <c r="I29" s="440"/>
      <c r="J29" s="76">
        <f>K29+L29+M29</f>
        <v>0</v>
      </c>
      <c r="K29" s="76">
        <f>'Ændringer 2'!F21</f>
        <v>0</v>
      </c>
      <c r="L29" s="76">
        <f>'Ændringer 2'!H21</f>
        <v>0</v>
      </c>
      <c r="M29" s="76">
        <f>'Regnskab - Ansøger'!J94-(K29+L29)</f>
        <v>0</v>
      </c>
      <c r="N29" s="54"/>
    </row>
    <row r="30" spans="1:14" ht="15.75" customHeight="1" thickBot="1" x14ac:dyDescent="0.3">
      <c r="A30" s="45"/>
      <c r="B30" s="52" t="s">
        <v>232</v>
      </c>
      <c r="C30" s="434" t="s">
        <v>233</v>
      </c>
      <c r="D30" s="435"/>
      <c r="E30" s="435"/>
      <c r="F30" s="435"/>
      <c r="G30" s="435"/>
      <c r="H30" s="435"/>
      <c r="I30" s="436"/>
      <c r="J30" s="88">
        <f>SUM(J28:J29)</f>
        <v>0</v>
      </c>
      <c r="K30" s="88">
        <f>SUM(K28:K29)</f>
        <v>0</v>
      </c>
      <c r="L30" s="88">
        <f>SUM(L28:L29)</f>
        <v>0</v>
      </c>
      <c r="M30" s="92">
        <f>SUM(M28:M29)</f>
        <v>0</v>
      </c>
      <c r="N30" s="45"/>
    </row>
    <row r="31" spans="1:14" x14ac:dyDescent="0.25">
      <c r="A31" s="45"/>
      <c r="B31" s="56"/>
      <c r="C31" s="433" t="s">
        <v>234</v>
      </c>
      <c r="D31" s="433"/>
      <c r="E31" s="433"/>
      <c r="F31" s="433"/>
      <c r="G31" s="433"/>
      <c r="H31" s="547">
        <f>IF(J27=0,0,J31/(J30+J27))</f>
        <v>0</v>
      </c>
      <c r="I31" s="548"/>
      <c r="J31" s="82">
        <f>+K31+L31+M31</f>
        <v>0</v>
      </c>
      <c r="K31" s="82">
        <f>'Ændringer 2'!$H25*K$22</f>
        <v>0</v>
      </c>
      <c r="L31" s="82">
        <f>'Ændringer 2'!$H25*L$22</f>
        <v>0</v>
      </c>
      <c r="M31" s="89">
        <f>'Regnskab - Ansøger'!J96-(K31+L31)</f>
        <v>0</v>
      </c>
      <c r="N31" s="45"/>
    </row>
    <row r="32" spans="1:14" x14ac:dyDescent="0.25">
      <c r="A32" s="45"/>
      <c r="B32" s="56"/>
      <c r="C32" s="441" t="s">
        <v>235</v>
      </c>
      <c r="D32" s="441"/>
      <c r="E32" s="441"/>
      <c r="F32" s="441"/>
      <c r="G32" s="441"/>
      <c r="H32" s="441"/>
      <c r="I32" s="441"/>
      <c r="J32" s="76">
        <f>+K32+L32+M32</f>
        <v>0</v>
      </c>
      <c r="K32" s="82">
        <f>'Ændringer 2'!$H26*K$22</f>
        <v>0</v>
      </c>
      <c r="L32" s="82">
        <f>'Ændringer 2'!$H26*L$22</f>
        <v>0</v>
      </c>
      <c r="M32" s="89">
        <f>'Regnskab - Ansøger'!J97-(K32+L32)</f>
        <v>0</v>
      </c>
      <c r="N32" s="45"/>
    </row>
    <row r="33" spans="1:14" ht="15.75" thickBot="1" x14ac:dyDescent="0.3">
      <c r="A33" s="45"/>
      <c r="B33" s="56"/>
      <c r="C33" s="432" t="s">
        <v>236</v>
      </c>
      <c r="D33" s="432"/>
      <c r="E33" s="432"/>
      <c r="F33" s="432"/>
      <c r="G33" s="432"/>
      <c r="H33" s="432"/>
      <c r="I33" s="432"/>
      <c r="J33" s="89">
        <f>+K33+L33+M33</f>
        <v>0</v>
      </c>
      <c r="K33" s="82">
        <f>'Ændringer 2'!$H27*K$22</f>
        <v>0</v>
      </c>
      <c r="L33" s="82">
        <f>'Ændringer 2'!$H27*L$22</f>
        <v>0</v>
      </c>
      <c r="M33" s="89">
        <f>'Regnskab - Ansøger'!J98-(K33+L33)</f>
        <v>0</v>
      </c>
      <c r="N33" s="45"/>
    </row>
    <row r="34" spans="1:14" ht="15.75" thickBot="1" x14ac:dyDescent="0.3">
      <c r="A34" s="45"/>
      <c r="B34" s="52" t="s">
        <v>237</v>
      </c>
      <c r="C34" s="434" t="s">
        <v>238</v>
      </c>
      <c r="D34" s="435"/>
      <c r="E34" s="435"/>
      <c r="F34" s="435"/>
      <c r="G34" s="435"/>
      <c r="H34" s="435"/>
      <c r="I34" s="436"/>
      <c r="J34" s="88">
        <f>SUM(K34:M34)</f>
        <v>0</v>
      </c>
      <c r="K34" s="88">
        <f>SUM(K31:K33)</f>
        <v>0</v>
      </c>
      <c r="L34" s="88">
        <f>SUM(L31:L33)</f>
        <v>0</v>
      </c>
      <c r="M34" s="92">
        <f>SUM(M31:M33)</f>
        <v>0</v>
      </c>
      <c r="N34" s="45"/>
    </row>
    <row r="35" spans="1:14" x14ac:dyDescent="0.25">
      <c r="A35" s="45"/>
      <c r="B35" s="56"/>
      <c r="C35" s="433" t="s">
        <v>239</v>
      </c>
      <c r="D35" s="433"/>
      <c r="E35" s="433"/>
      <c r="F35" s="433"/>
      <c r="G35" s="433"/>
      <c r="H35" s="433"/>
      <c r="I35" s="433"/>
      <c r="J35" s="82">
        <f>+K35+L35+M35</f>
        <v>0</v>
      </c>
      <c r="K35" s="82">
        <f>'Ændringer 2'!$H28*K$22</f>
        <v>0</v>
      </c>
      <c r="L35" s="82">
        <f>'Ændringer 2'!$H28*L$22</f>
        <v>0</v>
      </c>
      <c r="M35" s="89">
        <f>'Regnskab - Ansøger'!J100-(K35+L35)</f>
        <v>0</v>
      </c>
      <c r="N35" s="45"/>
    </row>
    <row r="36" spans="1:14" ht="15.75" thickBot="1" x14ac:dyDescent="0.3">
      <c r="A36" s="45"/>
      <c r="B36" s="56"/>
      <c r="C36" s="432" t="s">
        <v>240</v>
      </c>
      <c r="D36" s="432"/>
      <c r="E36" s="432"/>
      <c r="F36" s="432"/>
      <c r="G36" s="432"/>
      <c r="H36" s="432"/>
      <c r="I36" s="432"/>
      <c r="J36" s="76">
        <f>+K36+L36+M36</f>
        <v>0</v>
      </c>
      <c r="K36" s="82">
        <f>'Ændringer 2'!$H29*K$22</f>
        <v>0</v>
      </c>
      <c r="L36" s="82">
        <f>'Ændringer 2'!$H29*L$22</f>
        <v>0</v>
      </c>
      <c r="M36" s="89">
        <f>'Regnskab - Ansøger'!J101-(K36+L36)</f>
        <v>0</v>
      </c>
      <c r="N36" s="45"/>
    </row>
    <row r="37" spans="1:14" ht="15.75" thickBot="1" x14ac:dyDescent="0.3">
      <c r="A37" s="45"/>
      <c r="B37" s="52" t="s">
        <v>241</v>
      </c>
      <c r="C37" s="434" t="s">
        <v>242</v>
      </c>
      <c r="D37" s="435"/>
      <c r="E37" s="435"/>
      <c r="F37" s="435"/>
      <c r="G37" s="435"/>
      <c r="H37" s="435"/>
      <c r="I37" s="436"/>
      <c r="J37" s="88">
        <f>SUM(K37:M37)</f>
        <v>0</v>
      </c>
      <c r="K37" s="88">
        <f>SUM(K35:K36)</f>
        <v>0</v>
      </c>
      <c r="L37" s="88">
        <f>SUM(L35:L36)</f>
        <v>0</v>
      </c>
      <c r="M37" s="92">
        <f>SUM(M35:M36)</f>
        <v>0</v>
      </c>
      <c r="N37" s="45"/>
    </row>
    <row r="38" spans="1:14" x14ac:dyDescent="0.25">
      <c r="A38" s="45"/>
      <c r="B38" s="56"/>
      <c r="C38" s="433" t="s">
        <v>243</v>
      </c>
      <c r="D38" s="433"/>
      <c r="E38" s="433"/>
      <c r="F38" s="433"/>
      <c r="G38" s="433"/>
      <c r="H38" s="433"/>
      <c r="I38" s="433"/>
      <c r="J38" s="82">
        <f>+K38+L38+M38</f>
        <v>0</v>
      </c>
      <c r="K38" s="82">
        <f>'Ændringer 2'!$H30*K$22</f>
        <v>0</v>
      </c>
      <c r="L38" s="82">
        <f>'Ændringer 2'!$H30*L$22</f>
        <v>0</v>
      </c>
      <c r="M38" s="89">
        <f>'Regnskab - Ansøger'!J103-(K38+L38)</f>
        <v>0</v>
      </c>
      <c r="N38" s="45"/>
    </row>
    <row r="39" spans="1:14" x14ac:dyDescent="0.25">
      <c r="A39" s="45"/>
      <c r="B39" s="56"/>
      <c r="C39" s="441" t="s">
        <v>244</v>
      </c>
      <c r="D39" s="441"/>
      <c r="E39" s="441"/>
      <c r="F39" s="441"/>
      <c r="G39" s="441"/>
      <c r="H39" s="441"/>
      <c r="I39" s="441"/>
      <c r="J39" s="82">
        <f>+K39+L39+M39</f>
        <v>0</v>
      </c>
      <c r="K39" s="82">
        <f>'Ændringer 2'!$H31*K$22</f>
        <v>0</v>
      </c>
      <c r="L39" s="82">
        <f>'Ændringer 2'!$H31*L$22</f>
        <v>0</v>
      </c>
      <c r="M39" s="89">
        <f>'Regnskab - Ansøger'!J104-(K39+L39)</f>
        <v>0</v>
      </c>
      <c r="N39" s="45"/>
    </row>
    <row r="40" spans="1:14" x14ac:dyDescent="0.25">
      <c r="A40" s="45"/>
      <c r="B40" s="56"/>
      <c r="C40" s="441" t="s">
        <v>245</v>
      </c>
      <c r="D40" s="441"/>
      <c r="E40" s="441"/>
      <c r="F40" s="441"/>
      <c r="G40" s="441"/>
      <c r="H40" s="441"/>
      <c r="I40" s="441"/>
      <c r="J40" s="82">
        <f>+K40+L40+M40</f>
        <v>0</v>
      </c>
      <c r="K40" s="82">
        <f>'Ændringer 2'!$H32*K$22</f>
        <v>0</v>
      </c>
      <c r="L40" s="82">
        <f>'Ændringer 2'!$H32*L$22</f>
        <v>0</v>
      </c>
      <c r="M40" s="89">
        <f>'Regnskab - Ansøger'!J105-(K40+L40)</f>
        <v>0</v>
      </c>
      <c r="N40" s="45"/>
    </row>
    <row r="41" spans="1:14" ht="15.75" thickBot="1" x14ac:dyDescent="0.3">
      <c r="A41" s="45"/>
      <c r="B41" s="56"/>
      <c r="C41" s="432" t="s">
        <v>246</v>
      </c>
      <c r="D41" s="432"/>
      <c r="E41" s="432"/>
      <c r="F41" s="432"/>
      <c r="G41" s="432"/>
      <c r="H41" s="432"/>
      <c r="I41" s="432"/>
      <c r="J41" s="82">
        <f>+K41+L41+M41</f>
        <v>0</v>
      </c>
      <c r="K41" s="82">
        <f>'Ændringer 2'!$H33*K$22</f>
        <v>0</v>
      </c>
      <c r="L41" s="82">
        <f>'Ændringer 2'!$H33*L$22</f>
        <v>0</v>
      </c>
      <c r="M41" s="89">
        <f>'Regnskab - Ansøger'!J106-(K41+L41)</f>
        <v>0</v>
      </c>
      <c r="N41" s="45"/>
    </row>
    <row r="42" spans="1:14" ht="15.75" thickBot="1" x14ac:dyDescent="0.3">
      <c r="A42" s="45"/>
      <c r="B42" s="52" t="s">
        <v>247</v>
      </c>
      <c r="C42" s="434" t="s">
        <v>248</v>
      </c>
      <c r="D42" s="435"/>
      <c r="E42" s="435"/>
      <c r="F42" s="435"/>
      <c r="G42" s="435"/>
      <c r="H42" s="435"/>
      <c r="I42" s="436"/>
      <c r="J42" s="88">
        <f>SUM(K42:M42)</f>
        <v>0</v>
      </c>
      <c r="K42" s="88">
        <f>SUM(K38:K41)</f>
        <v>0</v>
      </c>
      <c r="L42" s="88">
        <f>SUM(L38:L41)</f>
        <v>0</v>
      </c>
      <c r="M42" s="92">
        <f>SUM(M38:M41)</f>
        <v>0</v>
      </c>
      <c r="N42" s="45"/>
    </row>
    <row r="43" spans="1:14" ht="15" customHeight="1" x14ac:dyDescent="0.25">
      <c r="A43" s="45"/>
      <c r="B43" s="56"/>
      <c r="C43" s="433" t="s">
        <v>304</v>
      </c>
      <c r="D43" s="433"/>
      <c r="E43" s="433"/>
      <c r="F43" s="433"/>
      <c r="G43" s="433"/>
      <c r="H43" s="433"/>
      <c r="I43" s="433"/>
      <c r="J43" s="82">
        <f>K43+L43+M43</f>
        <v>0</v>
      </c>
      <c r="K43" s="82">
        <f>(K27+K30+K31)*0.25</f>
        <v>0</v>
      </c>
      <c r="L43" s="82">
        <f>(L27+L30+L31)*0.25</f>
        <v>0</v>
      </c>
      <c r="M43" s="82">
        <f>(M27+M30+M31)*0.25</f>
        <v>0</v>
      </c>
      <c r="N43" s="45"/>
    </row>
    <row r="44" spans="1:14" ht="15" customHeight="1" x14ac:dyDescent="0.25">
      <c r="A44" s="45"/>
      <c r="B44" s="56"/>
      <c r="C44" s="441" t="s">
        <v>250</v>
      </c>
      <c r="D44" s="441"/>
      <c r="E44" s="441"/>
      <c r="F44" s="441"/>
      <c r="G44" s="441"/>
      <c r="H44" s="441"/>
      <c r="I44" s="441"/>
      <c r="J44" s="82">
        <f>K44+L44+M44</f>
        <v>0</v>
      </c>
      <c r="K44" s="89">
        <f>K32*0.25</f>
        <v>0</v>
      </c>
      <c r="L44" s="89">
        <f>L32*0.25</f>
        <v>0</v>
      </c>
      <c r="M44" s="89">
        <f>M32*0.25</f>
        <v>0</v>
      </c>
      <c r="N44" s="45"/>
    </row>
    <row r="45" spans="1:14" x14ac:dyDescent="0.25">
      <c r="A45" s="45"/>
      <c r="B45" s="56"/>
      <c r="C45" s="441" t="s">
        <v>251</v>
      </c>
      <c r="D45" s="441"/>
      <c r="E45" s="441"/>
      <c r="F45" s="441"/>
      <c r="G45" s="441"/>
      <c r="H45" s="441"/>
      <c r="I45" s="441"/>
      <c r="J45" s="82">
        <f>K45+L45+M45</f>
        <v>0</v>
      </c>
      <c r="K45" s="89">
        <f>+K38*0.25</f>
        <v>0</v>
      </c>
      <c r="L45" s="89">
        <f>+L38*0.25</f>
        <v>0</v>
      </c>
      <c r="M45" s="89">
        <f>+M38*0.25</f>
        <v>0</v>
      </c>
      <c r="N45" s="45"/>
    </row>
    <row r="46" spans="1:14" ht="15.75" thickBot="1" x14ac:dyDescent="0.3">
      <c r="A46" s="45"/>
      <c r="B46" s="56"/>
      <c r="C46" s="432" t="s">
        <v>252</v>
      </c>
      <c r="D46" s="432"/>
      <c r="E46" s="432"/>
      <c r="F46" s="432"/>
      <c r="G46" s="432"/>
      <c r="H46" s="432"/>
      <c r="I46" s="432"/>
      <c r="J46" s="82">
        <f>K46+L46+M46</f>
        <v>0</v>
      </c>
      <c r="K46" s="76">
        <f>K41*0.25</f>
        <v>0</v>
      </c>
      <c r="L46" s="76">
        <f>L41*0.25</f>
        <v>0</v>
      </c>
      <c r="M46" s="76">
        <f>M41*0.25</f>
        <v>0</v>
      </c>
      <c r="N46" s="45"/>
    </row>
    <row r="47" spans="1:14" ht="15" customHeight="1" thickBot="1" x14ac:dyDescent="0.3">
      <c r="A47" s="45"/>
      <c r="B47" s="52" t="s">
        <v>253</v>
      </c>
      <c r="C47" s="434" t="s">
        <v>254</v>
      </c>
      <c r="D47" s="435"/>
      <c r="E47" s="435"/>
      <c r="F47" s="435"/>
      <c r="G47" s="435"/>
      <c r="H47" s="435"/>
      <c r="I47" s="436"/>
      <c r="J47" s="88">
        <f>SUM(K47:M47)</f>
        <v>0</v>
      </c>
      <c r="K47" s="88">
        <f>SUM(K43:K46)</f>
        <v>0</v>
      </c>
      <c r="L47" s="88">
        <f>SUM(L43:L46)</f>
        <v>0</v>
      </c>
      <c r="M47" s="92">
        <f>SUM(M43:M46)</f>
        <v>0</v>
      </c>
      <c r="N47" s="45"/>
    </row>
    <row r="48" spans="1:14" ht="7.5" customHeight="1" x14ac:dyDescent="0.25">
      <c r="A48" s="45"/>
      <c r="B48" s="499"/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45"/>
    </row>
    <row r="49" spans="1:14" x14ac:dyDescent="0.25">
      <c r="A49" s="9"/>
      <c r="B49" s="540" t="s">
        <v>23</v>
      </c>
      <c r="C49" s="540"/>
      <c r="D49" s="540"/>
      <c r="E49" s="540"/>
      <c r="F49" s="540"/>
      <c r="G49" s="540"/>
      <c r="H49" s="540"/>
      <c r="I49" s="540"/>
      <c r="J49" s="100">
        <f>K49+L49+M49</f>
        <v>0</v>
      </c>
      <c r="K49" s="100">
        <f>K27+K30+K34+K37+K42+K47</f>
        <v>0</v>
      </c>
      <c r="L49" s="100">
        <f>L27+L30+L34+L37+L42+L47</f>
        <v>0</v>
      </c>
      <c r="M49" s="100">
        <f>M27+M30+M34+M37+M42+M47</f>
        <v>0</v>
      </c>
      <c r="N49" s="193"/>
    </row>
    <row r="50" spans="1:14" x14ac:dyDescent="0.25">
      <c r="A50" s="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</row>
    <row r="51" spans="1:14" x14ac:dyDescent="0.25">
      <c r="A51" s="9"/>
      <c r="B51" s="540" t="s">
        <v>305</v>
      </c>
      <c r="C51" s="540"/>
      <c r="D51" s="540"/>
      <c r="E51" s="540"/>
      <c r="F51" s="540"/>
      <c r="G51" s="540"/>
      <c r="H51" s="540"/>
      <c r="I51" s="540"/>
      <c r="J51" s="101">
        <f>K51+L51</f>
        <v>0</v>
      </c>
      <c r="K51" s="100">
        <f>Ansøgning!L50</f>
        <v>0</v>
      </c>
      <c r="L51" s="100">
        <f>Ansøgning!L51</f>
        <v>0</v>
      </c>
      <c r="M51" s="99"/>
      <c r="N51" s="99"/>
    </row>
    <row r="52" spans="1:14" x14ac:dyDescent="0.25">
      <c r="A52" s="9"/>
      <c r="B52" s="540" t="s">
        <v>306</v>
      </c>
      <c r="C52" s="540"/>
      <c r="D52" s="540"/>
      <c r="E52" s="540"/>
      <c r="F52" s="540"/>
      <c r="G52" s="540"/>
      <c r="H52" s="540"/>
      <c r="I52" s="540"/>
      <c r="J52" s="101">
        <f>K52+L52</f>
        <v>0</v>
      </c>
      <c r="K52" s="100">
        <f>K49-K51</f>
        <v>0</v>
      </c>
      <c r="L52" s="100">
        <f>L49-L51</f>
        <v>0</v>
      </c>
      <c r="M52" s="99"/>
      <c r="N52" s="99"/>
    </row>
    <row r="53" spans="1:14" ht="7.5" customHeight="1" x14ac:dyDescent="0.25">
      <c r="A53" s="9"/>
      <c r="B53" s="61"/>
      <c r="C53" s="61"/>
      <c r="D53" s="61"/>
      <c r="E53" s="61"/>
      <c r="F53" s="61"/>
      <c r="G53" s="61"/>
      <c r="H53" s="61"/>
      <c r="I53" s="99"/>
      <c r="J53" s="99"/>
      <c r="K53" s="99"/>
      <c r="L53" s="99"/>
      <c r="M53" s="99"/>
      <c r="N53" s="99"/>
    </row>
    <row r="54" spans="1:14" x14ac:dyDescent="0.25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</row>
    <row r="55" spans="1:14" x14ac:dyDescent="0.25">
      <c r="K55" s="173"/>
      <c r="L55" s="173"/>
    </row>
    <row r="56" spans="1:14" x14ac:dyDescent="0.25">
      <c r="J56" s="174"/>
      <c r="K56" s="541"/>
      <c r="L56" s="541"/>
      <c r="M56" s="174"/>
    </row>
    <row r="57" spans="1:14" x14ac:dyDescent="0.25">
      <c r="K57" s="541"/>
      <c r="L57" s="541"/>
      <c r="M57" s="174"/>
    </row>
    <row r="58" spans="1:14" x14ac:dyDescent="0.25">
      <c r="K58" s="173"/>
      <c r="L58" s="173"/>
    </row>
    <row r="59" spans="1:14" x14ac:dyDescent="0.25">
      <c r="K59" s="173"/>
      <c r="L59" s="173"/>
    </row>
    <row r="60" spans="1:14" x14ac:dyDescent="0.25">
      <c r="K60" s="173"/>
      <c r="L60" s="173"/>
    </row>
    <row r="61" spans="1:14" x14ac:dyDescent="0.25">
      <c r="K61" s="173"/>
      <c r="L61" s="173"/>
    </row>
    <row r="1048420" spans="2:10" x14ac:dyDescent="0.25">
      <c r="B1048420" s="378"/>
      <c r="C1048420" s="378"/>
      <c r="D1048420" s="378"/>
      <c r="E1048420" s="378"/>
      <c r="F1048420" s="378"/>
      <c r="G1048420" s="378"/>
      <c r="H1048420" s="378"/>
      <c r="I1048420" s="378"/>
      <c r="J1048420" s="378"/>
    </row>
  </sheetData>
  <sheetProtection sheet="1" selectLockedCells="1"/>
  <mergeCells count="56">
    <mergeCell ref="A28:N28"/>
    <mergeCell ref="C37:I37"/>
    <mergeCell ref="C38:I38"/>
    <mergeCell ref="C39:I39"/>
    <mergeCell ref="C40:I40"/>
    <mergeCell ref="C34:I34"/>
    <mergeCell ref="C35:I35"/>
    <mergeCell ref="C30:I30"/>
    <mergeCell ref="C31:G31"/>
    <mergeCell ref="H31:I31"/>
    <mergeCell ref="C29:I29"/>
    <mergeCell ref="C33:I33"/>
    <mergeCell ref="C32:I32"/>
    <mergeCell ref="C36:I36"/>
    <mergeCell ref="C6:G6"/>
    <mergeCell ref="A1:N1"/>
    <mergeCell ref="B2:G2"/>
    <mergeCell ref="H2:I2"/>
    <mergeCell ref="C11:G11"/>
    <mergeCell ref="C7:G7"/>
    <mergeCell ref="C8:G8"/>
    <mergeCell ref="C9:G9"/>
    <mergeCell ref="B3:G3"/>
    <mergeCell ref="C4:G4"/>
    <mergeCell ref="C5:G5"/>
    <mergeCell ref="C12:G12"/>
    <mergeCell ref="C15:G15"/>
    <mergeCell ref="C21:G21"/>
    <mergeCell ref="C22:J22"/>
    <mergeCell ref="C10:G10"/>
    <mergeCell ref="C13:G13"/>
    <mergeCell ref="C14:G14"/>
    <mergeCell ref="C27:I27"/>
    <mergeCell ref="C26:I26"/>
    <mergeCell ref="C16:G16"/>
    <mergeCell ref="C17:G17"/>
    <mergeCell ref="C18:G18"/>
    <mergeCell ref="C24:J24"/>
    <mergeCell ref="C25:I25"/>
    <mergeCell ref="C19:G19"/>
    <mergeCell ref="C20:G20"/>
    <mergeCell ref="C23:K23"/>
    <mergeCell ref="C42:I42"/>
    <mergeCell ref="C41:I41"/>
    <mergeCell ref="B1048420:J1048420"/>
    <mergeCell ref="B49:I49"/>
    <mergeCell ref="B48:M48"/>
    <mergeCell ref="C43:I43"/>
    <mergeCell ref="C44:I44"/>
    <mergeCell ref="C47:I47"/>
    <mergeCell ref="C45:I45"/>
    <mergeCell ref="C46:I46"/>
    <mergeCell ref="B52:I52"/>
    <mergeCell ref="B51:I51"/>
    <mergeCell ref="K57:L57"/>
    <mergeCell ref="K56:L56"/>
  </mergeCells>
  <conditionalFormatting sqref="I4:I21">
    <cfRule type="expression" priority="1" stopIfTrue="1">
      <formula>I4&gt;0</formula>
    </cfRule>
    <cfRule type="expression" dxfId="3" priority="2">
      <formula>I4+J4&gt;0</formula>
    </cfRule>
  </conditionalFormatting>
  <conditionalFormatting sqref="J25:J26">
    <cfRule type="expression" dxfId="2" priority="4">
      <formula>$J$85=0</formula>
    </cfRule>
    <cfRule type="expression" dxfId="1" priority="5">
      <formula>$J$64+$J$66+$J$67=0</formula>
    </cfRule>
  </conditionalFormatting>
  <conditionalFormatting sqref="J31">
    <cfRule type="expression" dxfId="0" priority="7">
      <formula>$H$91&gt;0.15</formula>
    </cfRule>
  </conditionalFormatting>
  <dataValidations disablePrompts="1" count="1">
    <dataValidation allowBlank="1" showInputMessage="1" showErrorMessage="1" prompt="Formel _x000a_IKKE _x000a_slette !!!" sqref="K22:M22 K24:M24" xr:uid="{1F1137B6-6EC2-4CB7-9C03-8758108B97E7}"/>
  </dataValidations>
  <pageMargins left="0" right="0" top="0" bottom="0" header="0" footer="0"/>
  <pageSetup paperSize="9" scale="88" fitToWidth="0" fitToHeight="0" orientation="portrait" r:id="rId1"/>
  <ignoredErrors>
    <ignoredError sqref="J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479E-E78F-4BD2-AF3E-D8E39C140D69}">
  <sheetPr codeName="Ark3"/>
  <dimension ref="A1:N45"/>
  <sheetViews>
    <sheetView zoomScale="85" zoomScaleNormal="85" workbookViewId="0">
      <selection activeCell="A2" sqref="A2"/>
    </sheetView>
  </sheetViews>
  <sheetFormatPr defaultColWidth="9.140625" defaultRowHeight="15" x14ac:dyDescent="0.25"/>
  <cols>
    <col min="1" max="1" width="9.140625" style="153"/>
    <col min="2" max="2" width="84" style="153" customWidth="1"/>
    <col min="3" max="3" width="15" style="153" customWidth="1"/>
    <col min="4" max="4" width="10.42578125" style="153" bestFit="1" customWidth="1"/>
    <col min="5" max="5" width="2.7109375" style="153" customWidth="1"/>
    <col min="6" max="6" width="10.42578125" style="153" bestFit="1" customWidth="1"/>
    <col min="7" max="7" width="11.140625" style="153" bestFit="1" customWidth="1"/>
    <col min="8" max="8" width="39.42578125" style="153" bestFit="1" customWidth="1"/>
    <col min="9" max="9" width="2.7109375" style="153" customWidth="1"/>
    <col min="10" max="10" width="14.42578125" style="153" bestFit="1" customWidth="1"/>
    <col min="11" max="11" width="19" style="153" bestFit="1" customWidth="1"/>
    <col min="12" max="12" width="9.42578125" style="153" bestFit="1" customWidth="1"/>
    <col min="13" max="17" width="9.140625" style="153"/>
    <col min="18" max="19" width="11" style="153" bestFit="1" customWidth="1"/>
    <col min="20" max="16384" width="9.140625" style="153"/>
  </cols>
  <sheetData>
    <row r="1" spans="1:14" x14ac:dyDescent="0.25">
      <c r="C1" s="378"/>
      <c r="D1" s="378"/>
    </row>
    <row r="2" spans="1:14" x14ac:dyDescent="0.25">
      <c r="A2" s="160" t="str">
        <f>"v"&amp;SUBSTITUTE(MAX(A5:A45),",",".")</f>
        <v>v2.3</v>
      </c>
      <c r="B2" s="159" t="s">
        <v>44</v>
      </c>
      <c r="C2" s="378"/>
      <c r="D2" s="378"/>
      <c r="K2" s="158" t="str">
        <f>"Status: " &amp; IF(Tilsagn!J49&gt;0,(IF(Licitation!J49&gt;0,IF(Regnskab!J49&gt;0,"Regnskab","Licitation"),"Tilsagn")),"Ansøgning")</f>
        <v>Status: Ansøgning</v>
      </c>
    </row>
    <row r="3" spans="1:14" x14ac:dyDescent="0.25">
      <c r="C3" s="378"/>
      <c r="D3" s="378"/>
    </row>
    <row r="4" spans="1:14" ht="30" x14ac:dyDescent="0.25">
      <c r="A4" s="147" t="s">
        <v>45</v>
      </c>
      <c r="B4" s="148" t="s">
        <v>46</v>
      </c>
      <c r="C4" s="148" t="s">
        <v>47</v>
      </c>
      <c r="D4" s="148" t="s">
        <v>48</v>
      </c>
      <c r="F4" t="s">
        <v>48</v>
      </c>
      <c r="G4" t="s">
        <v>49</v>
      </c>
      <c r="H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</row>
    <row r="5" spans="1:14" x14ac:dyDescent="0.25">
      <c r="A5" s="155">
        <v>1</v>
      </c>
      <c r="B5" s="196" t="s">
        <v>56</v>
      </c>
      <c r="C5" t="s">
        <v>57</v>
      </c>
      <c r="D5" s="156">
        <v>43525</v>
      </c>
      <c r="F5" s="156">
        <v>44313</v>
      </c>
      <c r="G5">
        <v>794</v>
      </c>
      <c r="H5" t="str">
        <f>"Lovbekendtgørelse "&amp;Lovbekendtgørelser[[#This Row],[Nummer]]&amp;" af "&amp;TEXT(F5,"d. MMMM åååå")</f>
        <v>Lovbekendtgørelse 794 af 27. april 2021</v>
      </c>
      <c r="J5" s="153">
        <v>2024</v>
      </c>
      <c r="K5" s="153" t="s">
        <v>58</v>
      </c>
      <c r="L5" s="164" t="str" cm="1">
        <f t="array" ref="L5">_xlfn.LET(
_xlpm.SAVE,IF(Ændringer!G45=0,10,Ændringer!G45),
_xlpm.Boliger,Ansøgning!K38,
_xlpm.DemoProjekt,Ændringer!J43,
_xlpm.InstallationsmanglerWC,IFERROR(LEFT(Tilsagn!I10,FIND("/",Tilsagn!I10)-1),0),
_xlpm.InstallationsmanglerBad,IFERROR(MID(Tilsagn!I10,FIND("/",Tilsagn!I10)+1,99),0),
_xlpm.Kommentar,N("OPDATER STØTTEBELØB HERUNDER"),
_xlpm.TilskudSAVE,{125000;125000;125000;125000;100000;100000;100000;100000;100000;100000},
_xlpm.TilskudDemo,150000,
_xlpm.TilskudAndel,{2;2;2;2;3;3;3;3;3;3},
_xlpm.TilskudWC,125000,
_xlpm.TilskudBad,75000,
_xlpm.TilskudBolig,INDEX(_xlpm.TilskudSAVE,_xlpm.SAVE),
_xlpm.TilskudDel,INDEX(_xlpm.TilskudAndel,IF(_xlpm.DemoProjekt="Ja",1,_xlpm.SAVE)),
_xlpm.TilskudInstallationsmangler,(_xlpm.InstallationsmanglerWC*_xlpm.TilskudWC)+(_xlpm.InstallationsmanglerBad*_xlpm.TilskudBad),
_xlpm.Maksstøtte,_xlpm.Boliger*IF(_xlpm.DemoProjekt="Ja",_xlpm.TilskudDemo,_xlpm.TilskudBolig),
_xlpm.Støtteandel,Tilsagn!L50/_xlpm.TilskudDel,
_xlpm.Tilsagn,MIN(_xlpm.Maksstøtte,_xlpm.Støtteandel),
IFERROR(
MIN(_xlpm.Tilsagn+_xlpm.TilskudInstallationsmangler,Tilsagn!L50*75%),
"Udregningsfejl")
)</f>
        <v>Udregningsfejl</v>
      </c>
      <c r="M5" s="164" t="str" cm="1">
        <f t="array" ref="M5">_xlfn.LET(
_xlpm.SAVE,IF(Ændringer!G45=0,10,Ændringer!G45),
_xlpm.Boliger,Licitation!K36,
_xlpm.DemoProjekt,Ændringer!J43,
_xlpm.InstallationsmanglerWC,IFERROR(LEFT(Licitation!I10,FIND("/",Licitation!I10)-1),0),
_xlpm.InstallationsmanglerBad,IFERROR(MID(Licitation!I10,FIND("/",Licitation!I10)+1,99),0),
_xlpm.TilskudSAVE,{125000;125000;125000;125000;100000;100000;100000;100000;100000;100000},
_xlpm.TilskudDemo,150000,
_xlpm.TilskudAndel,{2;2;2;2;3;3;3;3;3;3},
_xlpm.TilskudWC,125000,
_xlpm.TilskudBad,75000,
_xlpm.TilskudBolig,INDEX(_xlpm.TilskudSAVE,_xlpm.SAVE),
_xlpm.TilskudDel,INDEX(_xlpm.TilskudAndel,IF(_xlpm.DemoProjekt="Ja",1,_xlpm.SAVE)),
_xlpm.TilskudInstallationsmangler,(_xlpm.InstallationsmanglerWC*_xlpm.TilskudWC)+(_xlpm.InstallationsmanglerBad*_xlpm.TilskudBad),
_xlpm.Maksstøtte,_xlpm.Boliger*IF(_xlpm.DemoProjekt="Ja",_xlpm.TilskudDemo,_xlpm.TilskudBolig),
_xlpm.Støtteandel,Licitation!L50/_xlpm.TilskudDel,
_xlpm.Tilsagn,Støttemodeller[[#This Row],[Tilsagn]],
IFERROR(
MIN(_xlpm.Tilsagn+_xlpm.TilskudInstallationsmangler,Licitation!L50*75%),
"Udregningsfejl")
)</f>
        <v>Udregningsfejl</v>
      </c>
      <c r="N5" s="164" t="str" cm="1">
        <f t="array" ref="N5">_xlfn.LET(
_xlpm.SAVE,IF(Ændringer!G45=0,10,Ændringer!G45),
_xlpm.Boliger,Regnskab!K36,
_xlpm.DemoProjekt,Ændringer!J43,
_xlpm.InstallationsmanglerWC,IFERROR(LEFT(Regnskab!I10,FIND("/",Regnskab!I10)-1),0),
_xlpm.InstallationsmanglerBad,IFERROR(MID(Regnskab!I10,FIND("/",Regnskab!I10)+1,99),0),
_xlpm.TilskudSAVE,{125000;125000;125000;125000;100000;100000;100000;100000;100000;100000},
_xlpm.TilskudDemo,150000,
_xlpm.TilskudAndel,{2;2;2;2;3;3;3;3;3;3},
_xlpm.TilskudWC,125000,
_xlpm.TilskudBad,75000,
_xlpm.TilskudBolig,INDEX(_xlpm.TilskudSAVE,_xlpm.SAVE),
_xlpm.TilskudDel,INDEX(_xlpm.TilskudAndel,IF(_xlpm.DemoProjekt="Ja",1,_xlpm.SAVE)),
_xlpm.TilskudInstallationsmangler,(_xlpm.InstallationsmanglerWC*_xlpm.TilskudWC)+(_xlpm.InstallationsmanglerBad*_xlpm.TilskudBad),
_xlpm.Maksstøtte,_xlpm.Boliger*IF(_xlpm.DemoProjekt="Ja",_xlpm.TilskudDemo,_xlpm.TilskudBolig),
_xlpm.Støtteandel,Regnskab!L50/_xlpm.TilskudDel,
_xlpm.Tilsagn,Støttemodeller[[#This Row],[Tilsagn]],
IFERROR(
MIN(_xlpm.Tilsagn+_xlpm.TilskudInstallationsmangler,Regnskab!L50*75%),
"Udregningsfejl")
)</f>
        <v>Udregningsfejl</v>
      </c>
    </row>
    <row r="6" spans="1:14" x14ac:dyDescent="0.25">
      <c r="A6" s="155">
        <v>1.1000000000000001</v>
      </c>
      <c r="B6" s="196" t="s">
        <v>59</v>
      </c>
      <c r="C6" t="s">
        <v>57</v>
      </c>
      <c r="D6" s="156">
        <v>43648</v>
      </c>
      <c r="F6" s="156">
        <v>43882</v>
      </c>
      <c r="G6">
        <v>144</v>
      </c>
      <c r="H6" t="str">
        <f>"Lovbekendtgørelse "&amp;Lovbekendtgørelser[[#This Row],[Nummer]]&amp;" af "&amp;TEXT(F6,"d. MMMM åååå")</f>
        <v>Lovbekendtgørelse 144 af 21. februar 2020</v>
      </c>
      <c r="J6" s="153">
        <v>2023</v>
      </c>
      <c r="K6" s="153" t="s">
        <v>58</v>
      </c>
      <c r="L6" s="164" t="str" cm="1">
        <f t="array" ref="L6">_xlfn.LET(
_xlpm.SAVE,IF(Ændringer!G46=0,10,Ændringer!G46),
_xlpm.Boliger,Ansøgning!K39,
_xlpm.DemoProjekt,Ændringer!J44,
_xlpm.InstallationsmanglerWC,IFERROR(LEFT(Tilsagn!I11,FIND("/",Tilsagn!I11)-1),0),
_xlpm.InstallationsmanglerBad,IFERROR(MID(Tilsagn!I11,FIND("/",Tilsagn!I11)+1,99),0),
_xlpm.Kommentar,N("OPDATER STØTTEBELØB HERUNDER"),
_xlpm.TilskudSAVE,{125000;125000;125000;125000;100000;100000;100000;100000;100000;100000},
_xlpm.TilskudDemo,150000,
_xlpm.TilskudAndel,{2;2;2;2;3;3;3;3;3;3},
_xlpm.TilskudWC,125000,
_xlpm.TilskudBad,75000,
_xlpm.TilskudBolig,INDEX(_xlpm.TilskudSAVE,_xlpm.SAVE),
_xlpm.TilskudDel,INDEX(_xlpm.TilskudAndel,IF(_xlpm.DemoProjekt="Ja",1,_xlpm.SAVE)),
_xlpm.TilskudInstallationsmangler,(_xlpm.InstallationsmanglerWC*_xlpm.TilskudWC)+(_xlpm.InstallationsmanglerBad*_xlpm.TilskudBad),
_xlpm.Maksstøtte,_xlpm.Boliger*IF(_xlpm.DemoProjekt="Ja",_xlpm.TilskudDemo,_xlpm.TilskudBolig),
_xlpm.Støtteandel,Tilsagn!L51/_xlpm.TilskudDel,
_xlpm.Tilsagn,MIN(_xlpm.Maksstøtte,_xlpm.Støtteandel),
IFERROR(
MIN(_xlpm.Tilsagn+_xlpm.TilskudInstallationsmangler,Tilsagn!L51*75%),
"Udregningsfejl")
)</f>
        <v>Udregningsfejl</v>
      </c>
      <c r="M6" s="164" t="str" cm="1">
        <f t="array" ref="M6">_xlfn.LET(
_xlpm.SAVE,IF(Ændringer!G46=0,10,Ændringer!G46),
_xlpm.Boliger,Licitation!K37,
_xlpm.DemoProjekt,Ændringer!J44,
_xlpm.InstallationsmanglerWC,IFERROR(LEFT(Licitation!I11,FIND("/",Licitation!I11)-1),0),
_xlpm.InstallationsmanglerBad,IFERROR(MID(Licitation!I11,FIND("/",Licitation!I11)+1,99),0),
_xlpm.TilskudSAVE,{125000;125000;125000;125000;100000;100000;100000;100000;100000;100000},
_xlpm.TilskudDemo,150000,
_xlpm.TilskudAndel,{2;2;2;2;3;3;3;3;3;3},
_xlpm.TilskudWC,125000,
_xlpm.TilskudBad,75000,
_xlpm.TilskudBolig,INDEX(_xlpm.TilskudSAVE,_xlpm.SAVE),
_xlpm.TilskudDel,INDEX(_xlpm.TilskudAndel,IF(_xlpm.DemoProjekt="Ja",1,_xlpm.SAVE)),
_xlpm.TilskudInstallationsmangler,(_xlpm.InstallationsmanglerWC*_xlpm.TilskudWC)+(_xlpm.InstallationsmanglerBad*_xlpm.TilskudBad),
_xlpm.Maksstøtte,_xlpm.Boliger*IF(_xlpm.DemoProjekt="Ja",_xlpm.TilskudDemo,_xlpm.TilskudBolig),
_xlpm.Støtteandel,Licitation!L51/_xlpm.TilskudDel,
_xlpm.Tilsagn,Støttemodeller[[#This Row],[Tilsagn]],
IFERROR(
MIN(_xlpm.Tilsagn+_xlpm.TilskudInstallationsmangler,Licitation!L51*75%),
"Udregningsfejl")
)</f>
        <v>Udregningsfejl</v>
      </c>
      <c r="N6" s="164" t="str" cm="1">
        <f t="array" ref="N6">_xlfn.LET(
_xlpm.SAVE,IF(Ændringer!G46=0,10,Ændringer!G46),
_xlpm.Boliger,Regnskab!K37,
_xlpm.DemoProjekt,Ændringer!J44,
_xlpm.InstallationsmanglerWC,IFERROR(LEFT(Regnskab!I11,FIND("/",Regnskab!I11)-1),0),
_xlpm.InstallationsmanglerBad,IFERROR(MID(Regnskab!I11,FIND("/",Regnskab!I11)+1,99),0),
_xlpm.TilskudSAVE,{125000;125000;125000;125000;100000;100000;100000;100000;100000;100000},
_xlpm.TilskudDemo,150000,
_xlpm.TilskudAndel,{2;2;2;2;3;3;3;3;3;3},
_xlpm.TilskudWC,125000,
_xlpm.TilskudBad,75000,
_xlpm.TilskudBolig,INDEX(_xlpm.TilskudSAVE,_xlpm.SAVE),
_xlpm.TilskudDel,INDEX(_xlpm.TilskudAndel,IF(_xlpm.DemoProjekt="Ja",1,_xlpm.SAVE)),
_xlpm.TilskudInstallationsmangler,(_xlpm.InstallationsmanglerWC*_xlpm.TilskudWC)+(_xlpm.InstallationsmanglerBad*_xlpm.TilskudBad),
_xlpm.Maksstøtte,_xlpm.Boliger*IF(_xlpm.DemoProjekt="Ja",_xlpm.TilskudDemo,_xlpm.TilskudBolig),
_xlpm.Støtteandel,Regnskab!L51/_xlpm.TilskudDel,
_xlpm.Tilsagn,Støttemodeller[[#This Row],[Tilsagn]],
IFERROR(
MIN(_xlpm.Tilsagn+_xlpm.TilskudInstallationsmangler,Regnskab!L51*75%),
"Udregningsfejl")
)</f>
        <v>Udregningsfejl</v>
      </c>
    </row>
    <row r="7" spans="1:14" x14ac:dyDescent="0.25">
      <c r="A7" s="155">
        <v>1.2</v>
      </c>
      <c r="B7" s="196" t="s">
        <v>61</v>
      </c>
      <c r="C7" t="s">
        <v>62</v>
      </c>
      <c r="D7" s="156">
        <v>44348</v>
      </c>
      <c r="F7" s="156">
        <v>42646</v>
      </c>
      <c r="G7">
        <v>1228</v>
      </c>
      <c r="H7" t="str">
        <f>"Lovbekendtgørelse "&amp;Lovbekendtgørelser[[#This Row],[Nummer]]&amp;" af "&amp;TEXT(F7,"d. MMMM åååå")</f>
        <v>Lovbekendtgørelse 1228 af 3. oktober 2016</v>
      </c>
      <c r="J7" s="153">
        <v>2022</v>
      </c>
      <c r="K7" s="153" t="s">
        <v>58</v>
      </c>
      <c r="L7" s="164" t="str" cm="1">
        <f t="array" ref="L7">_xlfn.LET(
_xlpm.SAVE,IF(Ændringer!G47=0,10,Ændringer!G47),
_xlpm.Boliger,Ansøgning!K40,
_xlpm.DemoProjekt,Ændringer!J45,
_xlpm.InstallationsmanglerWC,IFERROR(LEFT(Tilsagn!I12,FIND("/",Tilsagn!I12)-1),0),
_xlpm.InstallationsmanglerBad,IFERROR(MID(Tilsagn!I12,FIND("/",Tilsagn!I12)+1,99),0),
_xlpm.Kommentar,N("OPDATER STØTTEBELØB HERUNDER"),
_xlpm.TilskudSAVE,{125000;125000;125000;125000;100000;100000;100000;100000;100000;100000},
_xlpm.TilskudDemo,150000,
_xlpm.TilskudAndel,{2;2;2;2;3;3;3;3;3;3},
_xlpm.TilskudWC,125000,
_xlpm.TilskudBad,75000,
_xlpm.TilskudBolig,INDEX(_xlpm.TilskudSAVE,_xlpm.SAVE),
_xlpm.TilskudDel,INDEX(_xlpm.TilskudAndel,IF(_xlpm.DemoProjekt="Ja",1,_xlpm.SAVE)),
_xlpm.TilskudInstallationsmangler,(_xlpm.InstallationsmanglerWC*_xlpm.TilskudWC)+(_xlpm.InstallationsmanglerBad*_xlpm.TilskudBad),
_xlpm.Maksstøtte,_xlpm.Boliger*IF(_xlpm.DemoProjekt="Ja",_xlpm.TilskudDemo,_xlpm.TilskudBolig),
_xlpm.Støtteandel,Tilsagn!L52/_xlpm.TilskudDel,
_xlpm.Tilsagn,MIN(_xlpm.Maksstøtte,_xlpm.Støtteandel),
IFERROR(
MIN(_xlpm.Tilsagn+_xlpm.TilskudInstallationsmangler,Tilsagn!L52*75%),
"Udregningsfejl")
)</f>
        <v>Udregningsfejl</v>
      </c>
      <c r="M7" s="164" t="str" cm="1">
        <f t="array" ref="M7">_xlfn.LET(
_xlpm.SAVE,IF(Ændringer!G47=0,10,Ændringer!G47),
_xlpm.Boliger,Licitation!K38,
_xlpm.DemoProjekt,Ændringer!J45,
_xlpm.InstallationsmanglerWC,IFERROR(LEFT(Licitation!I12,FIND("/",Licitation!I12)-1),0),
_xlpm.InstallationsmanglerBad,IFERROR(MID(Licitation!I12,FIND("/",Licitation!I12)+1,99),0),
_xlpm.TilskudSAVE,{125000;125000;125000;125000;100000;100000;100000;100000;100000;100000},
_xlpm.TilskudDemo,150000,
_xlpm.TilskudAndel,{2;2;2;2;3;3;3;3;3;3},
_xlpm.TilskudWC,125000,
_xlpm.TilskudBad,75000,
_xlpm.TilskudBolig,INDEX(_xlpm.TilskudSAVE,_xlpm.SAVE),
_xlpm.TilskudDel,INDEX(_xlpm.TilskudAndel,IF(_xlpm.DemoProjekt="Ja",1,_xlpm.SAVE)),
_xlpm.TilskudInstallationsmangler,(_xlpm.InstallationsmanglerWC*_xlpm.TilskudWC)+(_xlpm.InstallationsmanglerBad*_xlpm.TilskudBad),
_xlpm.Maksstøtte,_xlpm.Boliger*IF(_xlpm.DemoProjekt="Ja",_xlpm.TilskudDemo,_xlpm.TilskudBolig),
_xlpm.Støtteandel,Licitation!L52/_xlpm.TilskudDel,
_xlpm.Tilsagn,Støttemodeller[[#This Row],[Tilsagn]],
IFERROR(
MIN(_xlpm.Tilsagn+_xlpm.TilskudInstallationsmangler,Licitation!L52*75%),
"Udregningsfejl")
)</f>
        <v>Udregningsfejl</v>
      </c>
      <c r="N7" s="164" t="str" cm="1">
        <f t="array" ref="N7">_xlfn.LET(
_xlpm.SAVE,IF(Ændringer!G47=0,10,Ændringer!G47),
_xlpm.Boliger,Regnskab!K38,
_xlpm.DemoProjekt,Ændringer!J45,
_xlpm.InstallationsmanglerWC,IFERROR(LEFT(Regnskab!I12,FIND("/",Regnskab!I12)-1),0),
_xlpm.InstallationsmanglerBad,IFERROR(MID(Regnskab!I12,FIND("/",Regnskab!I12)+1,99),0),
_xlpm.TilskudSAVE,{125000;125000;125000;125000;100000;100000;100000;100000;100000;100000},
_xlpm.TilskudDemo,150000,
_xlpm.TilskudAndel,{2;2;2;2;3;3;3;3;3;3},
_xlpm.TilskudWC,125000,
_xlpm.TilskudBad,75000,
_xlpm.TilskudBolig,INDEX(_xlpm.TilskudSAVE,_xlpm.SAVE),
_xlpm.TilskudDel,INDEX(_xlpm.TilskudAndel,IF(_xlpm.DemoProjekt="Ja",1,_xlpm.SAVE)),
_xlpm.TilskudInstallationsmangler,(_xlpm.InstallationsmanglerWC*_xlpm.TilskudWC)+(_xlpm.InstallationsmanglerBad*_xlpm.TilskudBad),
_xlpm.Maksstøtte,_xlpm.Boliger*IF(_xlpm.DemoProjekt="Ja",_xlpm.TilskudDemo,_xlpm.TilskudBolig),
_xlpm.Støtteandel,Regnskab!L52/_xlpm.TilskudDel,
_xlpm.Tilsagn,Støttemodeller[[#This Row],[Tilsagn]],
IFERROR(
MIN(_xlpm.Tilsagn+_xlpm.TilskudInstallationsmangler,Regnskab!L52*75%),
"Udregningsfejl")
)</f>
        <v>Udregningsfejl</v>
      </c>
    </row>
    <row r="8" spans="1:14" x14ac:dyDescent="0.25">
      <c r="A8" s="155">
        <v>1.2</v>
      </c>
      <c r="B8" s="196" t="s">
        <v>64</v>
      </c>
      <c r="C8" t="s">
        <v>62</v>
      </c>
      <c r="D8" s="156">
        <v>44348</v>
      </c>
      <c r="J8" s="153">
        <v>2021</v>
      </c>
      <c r="K8" s="153" t="s">
        <v>60</v>
      </c>
      <c r="L8" s="164" t="e">
        <f>_xlfn.LET(
_xlpm.SAVE,Ændringer!G47,
_xlpm.Boliger,Ansøgning!K40,
_xlpm.Demonstrationsprojekt,Ændringer!J45,
_xlpm.Installationsmangler,Tilsagn!I12*75000,
_xlpm.Maksstøtte,_xlpm.Boliger*IF(_xlpm.Demonstrationsprojekt="Ja",150000,IF(_xlpm.SAVE&lt;5,125000,100000)),
_xlpm.Støtteandel,Tilsagn!L52/IF(OR(_xlpm.SAVE&lt;5,_xlpm.Demonstrationsprojekt="Ja"),2,3),
_xlpm.Tilsagn,MIN(_xlpm.Maksstøtte,Tilsagn!L52/IF(OR(_xlpm.SAVE&lt;5,_xlpm.Demonstrationsprojekt="Ja"),2,3)),
MIN(MIN(_xlpm.Maksstøtte,_xlpm.Støtteandel,_xlpm.Tilsagn)+_xlpm.Installationsmangler,Tilsagn!L52*75%)
)</f>
        <v>#VALUE!</v>
      </c>
      <c r="M8" s="164" t="e">
        <f>_xlfn.LET(
_xlpm.SAVE,Ændringer!G47,
_xlpm.Boliger,'Licitation - Ansøger'!K40,
_xlpm.Demonstrationsprojekt,Ændringer!J45,
_xlpm.Installationsmangler,Licitation!I12*75000,
_xlpm.Maksstøtte,_xlpm.Boliger*IF(_xlpm.Demonstrationsprojekt="Ja",150000,IF(_xlpm.SAVE&lt;5,125000,100000)),
_xlpm.Støtteandel,Licitation!L52/IF(OR(_xlpm.SAVE&lt;5,_xlpm.Demonstrationsprojekt="Ja"),2,3),
_xlpm.Tilsagn,Støttemodeller[[#This Row],[Tilsagn]],
MIN(MIN(_xlpm.Støtteandel,_xlpm.Tilsagn)+_xlpm.Installationsmangler,Licitation!L52*75%)
)</f>
        <v>#VALUE!</v>
      </c>
      <c r="N8" s="164" t="e">
        <f>_xlfn.LET(
_xlpm.SAVE,Ændringer!G47,
_xlpm.Boliger,'Regnskab - Ansøger'!K40,
_xlpm.Demonstrationsprojekt,Ændringer!J45,
_xlpm.Installationsmangler,Regnskab!I12*75000,
_xlpm.Maksstøtte,_xlpm.Boliger*IF(_xlpm.Demonstrationsprojekt="Ja",150000,IF(_xlpm.SAVE&lt;5,125000,100000)),
_xlpm.Støtteandel,Regnskab!L52/IF(OR(_xlpm.SAVE&lt;5,_xlpm.Demonstrationsprojekt="Ja"),2,3),
_xlpm.Tilsagn,Støttemodeller[[#This Row],[Tilsagn]],
MIN(MIN(_xlpm.Støtteandel,_xlpm.Tilsagn)+_xlpm.Installationsmangler,Regnskab!L52*75%)
)</f>
        <v>#VALUE!</v>
      </c>
    </row>
    <row r="9" spans="1:14" x14ac:dyDescent="0.25">
      <c r="A9" s="155">
        <v>1.2</v>
      </c>
      <c r="B9" s="196" t="s">
        <v>66</v>
      </c>
      <c r="C9" t="s">
        <v>62</v>
      </c>
      <c r="D9" s="156">
        <v>44348</v>
      </c>
      <c r="J9" s="153">
        <v>2020</v>
      </c>
      <c r="K9" s="153" t="s">
        <v>63</v>
      </c>
      <c r="L9" s="164" t="e">
        <f>_xlfn.LET(
_xlpm.SAVE,Ændringer!G47,
_xlpm.Boliger,Ansøgning!K40,
_xlpm.Demonstrationsprojekt,Ændringer!J45,
_xlpm.Installationsmangler,Tilsagn!I12*75000,
_xlpm.Maksstøtte,_xlpm.Boliger*IF(_xlpm.Demonstrationsprojekt="Ja",110000,IF(_xlpm.SAVE&lt;5,90000,75000)),
_xlpm.Støtteandel,Tilsagn!L52/IF(OR(_xlpm.SAVE&lt;5,_xlpm.Demonstrationsprojekt="Ja"),3,4),
_xlpm.Tilsagn,MIN(_xlpm.Maksstøtte,Tilsagn!L52/IF(OR(_xlpm.SAVE&lt;5,_xlpm.Demonstrationsprojekt="Ja"),3,4)),
MIN(MIN(_xlpm.Maksstøtte,_xlpm.Støtteandel,_xlpm.Tilsagn)+_xlpm.Installationsmangler,Tilsagn!L52*75%)
)</f>
        <v>#VALUE!</v>
      </c>
      <c r="M9" s="164" t="e">
        <f>_xlfn.LET(
_xlpm.SAVE,Ændringer!G47,
_xlpm.Boliger,'Licitation - Ansøger'!K40,
_xlpm.Demonstrationsprojekt,Ændringer!J45,
_xlpm.Installationsmangler,Licitation!I12*75000,
_xlpm.Maksstøtte,_xlpm.Boliger*IF(_xlpm.Demonstrationsprojekt="Ja",110000,IF(_xlpm.SAVE&lt;5,90000,75000)),
_xlpm.Støtteandel,Licitation!L52/IF(OR(_xlpm.SAVE&lt;5,_xlpm.Demonstrationsprojekt="Ja"),3,4),
_xlpm.Tilsagn,Støttemodeller[[#This Row],[Tilsagn]],
MIN(MIN(_xlpm.Støtteandel,_xlpm.Tilsagn)+_xlpm.Installationsmangler,Licitation!L52*75%))</f>
        <v>#VALUE!</v>
      </c>
      <c r="N9" s="164" t="e">
        <f>_xlfn.LET(
_xlpm.SAVE,Ændringer!G47,
_xlpm.Boliger,'Regnskab - Ansøger'!K40,
_xlpm.Demonstrationsprojekt,Ændringer!J45,
_xlpm.Installationsmangler,Regnskab!I12*75000,
_xlpm.Maksstøtte,_xlpm.Boliger*IF(_xlpm.Demonstrationsprojekt="Ja",110000,IF(_xlpm.SAVE&lt;5,90000,75000)),
_xlpm.Støtteandel,Regnskab!L52/IF(OR(_xlpm.SAVE&lt;5,_xlpm.Demonstrationsprojekt="Ja"),3,4),
_xlpm.Tilsagn,Støttemodeller[[#This Row],[Tilsagn]],
MIN(MIN(_xlpm.Støtteandel,_xlpm.Tilsagn)+_xlpm.Installationsmangler,Regnskab!L52*75%))</f>
        <v>#VALUE!</v>
      </c>
    </row>
    <row r="10" spans="1:14" x14ac:dyDescent="0.25">
      <c r="A10" s="155">
        <v>1.2</v>
      </c>
      <c r="B10" s="196" t="s">
        <v>67</v>
      </c>
      <c r="C10" t="s">
        <v>62</v>
      </c>
      <c r="D10" s="156">
        <v>44348</v>
      </c>
      <c r="J10" s="153">
        <v>2018</v>
      </c>
      <c r="K10" s="153" t="s">
        <v>65</v>
      </c>
      <c r="L10" s="164">
        <f>_xlfn.LET(
_xlpm.SAVE,Ændringer!G47,
_xlpm.Ejerform,Ansøgning!F15,
_xlpm.Antalboliger,Ansøgning!K35,
_xlpm.Udlejning,Tilsagn!L52/3,
_xlpm.AndelEjer,Tilsagn!L52/IF(_xlpm.SAVE&lt;5,3,4),
_xlpm.Støtteandel,IF(_xlpm.Ejerform&lt;&gt;"",_xlpm.Udlejning,_xlpm.AndelEjer),
_xlpm.Maksstøtte,_xlpm.Antalboliger*100000*IF(MID(Ansøgning!B5,2,1)=CHAR(46),1,100),
_xlpm.Tilsagn,Tilsagn!L52/IF(_xlpm.Ejerform&lt;&gt;"",IF(Ansøgning!B6="17-29",(1/0.33),3),IF(_xlpm.SAVE&lt;5,3,4)),
MIN(MIN(_xlpm.Maksstøtte,_xlpm.Støtteandel,_xlpm.Tilsagn),Tilsagn!L52*75%)
)</f>
        <v>0</v>
      </c>
      <c r="M10" s="164">
        <f>_xlfn.LET(
_xlpm.SAVE,Ændringer!G47,
_xlpm.Ejerform,'Licitation - Ansøger'!F15,
_xlpm.Antalboliger,'Licitation - Ansøger'!K40,
_xlpm.Udlejning,Licitation!L52/3,
_xlpm.AndelEjer,Licitation!L52/IF(_xlpm.SAVE&lt;5,3,4),
_xlpm.Støtteandel,IF(_xlpm.Ejerform&lt;&gt;"",_xlpm.Udlejning,_xlpm.AndelEjer),
_xlpm.Maksstøtte,_xlpm.Antalboliger*100000,
_xlpm.Tilsagn,Støttemodeller[[#This Row],[Tilsagn]],
MIN(MIN(_xlpm.Maksstøtte,_xlpm.Støtteandel,_xlpm.Tilsagn),Licitation!L52*75%)
)</f>
        <v>0</v>
      </c>
      <c r="N10" s="164">
        <f>_xlfn.LET(
_xlpm.SAVE,Ændringer!G47,
_xlpm.Ejerform,'Regnskab - Ansøger'!F15,
_xlpm.Antalboliger,'Regnskab - Ansøger'!K40,
_xlpm.Udlejning,Regnskab!L52/3,
_xlpm.AndelEjer,Regnskab!L52/IF(_xlpm.SAVE&lt;5,3,4),
_xlpm.Støtteandel,IF(_xlpm.Ejerform&lt;&gt;"",_xlpm.Udlejning,_xlpm.AndelEjer),
_xlpm.Maksstøtte,_xlpm.Antalboliger*100000,
_xlpm.Tilsagn,Støttemodeller[[#This Row],[Tilsagn]],
MIN(MIN(_xlpm.Maksstøtte,_xlpm.Støtteandel,_xlpm.Tilsagn),Regnskab!L52*75%)
)</f>
        <v>0</v>
      </c>
    </row>
    <row r="11" spans="1:14" x14ac:dyDescent="0.25">
      <c r="A11" s="155">
        <v>1.2</v>
      </c>
      <c r="B11" s="196" t="s">
        <v>68</v>
      </c>
      <c r="C11" t="s">
        <v>62</v>
      </c>
      <c r="D11" s="156">
        <v>44348</v>
      </c>
    </row>
    <row r="12" spans="1:14" x14ac:dyDescent="0.25">
      <c r="A12" s="155">
        <v>1.2</v>
      </c>
      <c r="B12" s="196" t="s">
        <v>69</v>
      </c>
      <c r="C12" t="s">
        <v>62</v>
      </c>
      <c r="D12" s="156">
        <v>44348</v>
      </c>
    </row>
    <row r="13" spans="1:14" x14ac:dyDescent="0.25">
      <c r="A13" s="155">
        <v>1.3</v>
      </c>
      <c r="B13" s="196" t="s">
        <v>70</v>
      </c>
      <c r="C13" t="s">
        <v>62</v>
      </c>
      <c r="D13" s="156">
        <v>44427</v>
      </c>
    </row>
    <row r="14" spans="1:14" x14ac:dyDescent="0.25">
      <c r="A14" s="155">
        <v>1.3</v>
      </c>
      <c r="B14" s="196" t="s">
        <v>71</v>
      </c>
      <c r="C14" t="s">
        <v>62</v>
      </c>
      <c r="D14" s="156">
        <v>44432</v>
      </c>
    </row>
    <row r="15" spans="1:14" x14ac:dyDescent="0.25">
      <c r="A15" s="155">
        <v>1.3</v>
      </c>
      <c r="B15" s="196" t="s">
        <v>72</v>
      </c>
      <c r="C15" t="s">
        <v>62</v>
      </c>
      <c r="D15" s="156">
        <v>44438</v>
      </c>
    </row>
    <row r="16" spans="1:14" x14ac:dyDescent="0.25">
      <c r="A16" s="155">
        <v>1.3</v>
      </c>
      <c r="B16" s="196" t="s">
        <v>73</v>
      </c>
      <c r="C16" t="s">
        <v>62</v>
      </c>
      <c r="D16" s="156">
        <v>44439</v>
      </c>
    </row>
    <row r="17" spans="1:4" x14ac:dyDescent="0.25">
      <c r="A17" s="155">
        <v>1.4</v>
      </c>
      <c r="B17" s="196" t="s">
        <v>74</v>
      </c>
      <c r="C17" t="s">
        <v>62</v>
      </c>
      <c r="D17" s="156">
        <v>44460</v>
      </c>
    </row>
    <row r="18" spans="1:4" x14ac:dyDescent="0.25">
      <c r="A18" s="155">
        <v>1.4</v>
      </c>
      <c r="B18" s="196" t="s">
        <v>75</v>
      </c>
      <c r="C18" t="s">
        <v>62</v>
      </c>
      <c r="D18" s="156">
        <v>44460</v>
      </c>
    </row>
    <row r="19" spans="1:4" x14ac:dyDescent="0.25">
      <c r="A19" s="155">
        <v>1.4</v>
      </c>
      <c r="B19" s="196" t="s">
        <v>76</v>
      </c>
      <c r="C19" t="s">
        <v>62</v>
      </c>
      <c r="D19" s="156">
        <v>44466</v>
      </c>
    </row>
    <row r="20" spans="1:4" x14ac:dyDescent="0.25">
      <c r="A20" s="155">
        <v>1.4</v>
      </c>
      <c r="B20" s="196" t="s">
        <v>77</v>
      </c>
      <c r="C20" t="s">
        <v>62</v>
      </c>
      <c r="D20" s="156">
        <v>44501</v>
      </c>
    </row>
    <row r="21" spans="1:4" x14ac:dyDescent="0.25">
      <c r="A21" s="155">
        <v>1.41</v>
      </c>
      <c r="B21" s="196" t="s">
        <v>78</v>
      </c>
      <c r="C21" t="s">
        <v>62</v>
      </c>
      <c r="D21" s="156">
        <v>44567</v>
      </c>
    </row>
    <row r="22" spans="1:4" x14ac:dyDescent="0.25">
      <c r="A22" s="155">
        <v>1.5</v>
      </c>
      <c r="B22" s="196" t="s">
        <v>79</v>
      </c>
      <c r="C22" t="s">
        <v>62</v>
      </c>
      <c r="D22" s="156">
        <v>44589</v>
      </c>
    </row>
    <row r="23" spans="1:4" x14ac:dyDescent="0.25">
      <c r="A23" s="155">
        <v>1.5</v>
      </c>
      <c r="B23" s="196" t="s">
        <v>80</v>
      </c>
      <c r="C23" t="s">
        <v>62</v>
      </c>
      <c r="D23" s="156">
        <v>44599</v>
      </c>
    </row>
    <row r="24" spans="1:4" x14ac:dyDescent="0.25">
      <c r="A24" s="155">
        <v>1.51</v>
      </c>
      <c r="B24" s="196" t="s">
        <v>81</v>
      </c>
      <c r="C24" t="s">
        <v>62</v>
      </c>
      <c r="D24" s="156">
        <v>44607</v>
      </c>
    </row>
    <row r="25" spans="1:4" x14ac:dyDescent="0.25">
      <c r="A25" s="155">
        <v>1.52</v>
      </c>
      <c r="B25" s="196" t="s">
        <v>82</v>
      </c>
      <c r="C25" t="s">
        <v>62</v>
      </c>
      <c r="D25" s="156">
        <v>44792</v>
      </c>
    </row>
    <row r="26" spans="1:4" x14ac:dyDescent="0.25">
      <c r="A26" s="155">
        <v>1.6</v>
      </c>
      <c r="B26" s="196" t="s">
        <v>83</v>
      </c>
      <c r="C26" t="s">
        <v>62</v>
      </c>
      <c r="D26" s="156">
        <v>44799</v>
      </c>
    </row>
    <row r="27" spans="1:4" ht="30" x14ac:dyDescent="0.25">
      <c r="A27" s="197">
        <v>1.7</v>
      </c>
      <c r="B27" s="196" t="s">
        <v>84</v>
      </c>
      <c r="C27" s="198" t="s">
        <v>85</v>
      </c>
      <c r="D27" s="199">
        <v>44824</v>
      </c>
    </row>
    <row r="28" spans="1:4" x14ac:dyDescent="0.25">
      <c r="A28" s="155">
        <v>1.7</v>
      </c>
      <c r="B28" s="196" t="s">
        <v>86</v>
      </c>
      <c r="C28" t="s">
        <v>85</v>
      </c>
      <c r="D28" s="156">
        <v>44824</v>
      </c>
    </row>
    <row r="29" spans="1:4" x14ac:dyDescent="0.25">
      <c r="A29" s="155">
        <v>1.7</v>
      </c>
      <c r="B29" s="196" t="s">
        <v>87</v>
      </c>
      <c r="C29" t="s">
        <v>85</v>
      </c>
      <c r="D29" s="156">
        <v>44824</v>
      </c>
    </row>
    <row r="30" spans="1:4" x14ac:dyDescent="0.25">
      <c r="A30" s="197">
        <v>1.7</v>
      </c>
      <c r="B30" s="196" t="s">
        <v>88</v>
      </c>
      <c r="C30" s="198" t="s">
        <v>85</v>
      </c>
      <c r="D30" s="199">
        <v>44824</v>
      </c>
    </row>
    <row r="31" spans="1:4" ht="30" x14ac:dyDescent="0.25">
      <c r="A31" s="197">
        <v>1.7</v>
      </c>
      <c r="B31" s="196" t="s">
        <v>89</v>
      </c>
      <c r="C31" s="198" t="s">
        <v>85</v>
      </c>
      <c r="D31" s="199">
        <v>44824</v>
      </c>
    </row>
    <row r="32" spans="1:4" x14ac:dyDescent="0.25">
      <c r="A32" s="155">
        <v>1.7</v>
      </c>
      <c r="B32" s="196" t="s">
        <v>90</v>
      </c>
      <c r="C32" t="s">
        <v>85</v>
      </c>
      <c r="D32" s="156">
        <v>44824</v>
      </c>
    </row>
    <row r="33" spans="1:4" x14ac:dyDescent="0.25">
      <c r="A33" s="155">
        <v>1.7</v>
      </c>
      <c r="B33" s="196" t="s">
        <v>91</v>
      </c>
      <c r="C33" t="s">
        <v>85</v>
      </c>
      <c r="D33" s="156">
        <v>44824</v>
      </c>
    </row>
    <row r="34" spans="1:4" ht="30" x14ac:dyDescent="0.25">
      <c r="A34" s="197">
        <v>1.7</v>
      </c>
      <c r="B34" s="196" t="s">
        <v>92</v>
      </c>
      <c r="C34" s="198" t="s">
        <v>85</v>
      </c>
      <c r="D34" s="199">
        <v>44824</v>
      </c>
    </row>
    <row r="35" spans="1:4" ht="30" x14ac:dyDescent="0.25">
      <c r="A35" s="197">
        <v>1.7</v>
      </c>
      <c r="B35" s="196" t="s">
        <v>93</v>
      </c>
      <c r="C35" s="198" t="s">
        <v>85</v>
      </c>
      <c r="D35" s="199">
        <v>44824</v>
      </c>
    </row>
    <row r="36" spans="1:4" x14ac:dyDescent="0.25">
      <c r="A36" s="155">
        <v>1.7</v>
      </c>
      <c r="B36" s="196" t="s">
        <v>94</v>
      </c>
      <c r="C36" t="s">
        <v>85</v>
      </c>
      <c r="D36" s="156">
        <v>44824</v>
      </c>
    </row>
    <row r="37" spans="1:4" x14ac:dyDescent="0.25">
      <c r="A37" s="155">
        <v>1.7</v>
      </c>
      <c r="B37" s="196" t="s">
        <v>95</v>
      </c>
      <c r="C37" t="s">
        <v>85</v>
      </c>
      <c r="D37" s="156">
        <v>44824</v>
      </c>
    </row>
    <row r="38" spans="1:4" x14ac:dyDescent="0.25">
      <c r="A38" s="155">
        <v>1.8</v>
      </c>
      <c r="B38" s="196" t="s">
        <v>96</v>
      </c>
      <c r="C38" t="s">
        <v>97</v>
      </c>
      <c r="D38" s="156">
        <v>45009</v>
      </c>
    </row>
    <row r="39" spans="1:4" ht="45" x14ac:dyDescent="0.25">
      <c r="A39" s="155">
        <v>1.8</v>
      </c>
      <c r="B39" s="196" t="s">
        <v>361</v>
      </c>
      <c r="C39" t="s">
        <v>97</v>
      </c>
      <c r="D39" s="156">
        <v>45350</v>
      </c>
    </row>
    <row r="40" spans="1:4" ht="30" x14ac:dyDescent="0.25">
      <c r="A40" s="155">
        <v>1.9</v>
      </c>
      <c r="B40" s="196" t="s">
        <v>368</v>
      </c>
      <c r="C40" t="s">
        <v>97</v>
      </c>
      <c r="D40" s="156">
        <v>45470</v>
      </c>
    </row>
    <row r="41" spans="1:4" ht="45" x14ac:dyDescent="0.25">
      <c r="A41" s="155">
        <v>2</v>
      </c>
      <c r="B41" s="196" t="s">
        <v>370</v>
      </c>
      <c r="C41" t="s">
        <v>97</v>
      </c>
      <c r="D41" s="156">
        <v>45548</v>
      </c>
    </row>
    <row r="42" spans="1:4" x14ac:dyDescent="0.25">
      <c r="A42" s="155">
        <v>2.1</v>
      </c>
      <c r="B42" s="196" t="s">
        <v>372</v>
      </c>
      <c r="C42" t="s">
        <v>97</v>
      </c>
      <c r="D42" s="156">
        <v>45708</v>
      </c>
    </row>
    <row r="43" spans="1:4" x14ac:dyDescent="0.25">
      <c r="A43" s="155">
        <v>2.1</v>
      </c>
      <c r="B43" s="196" t="s">
        <v>373</v>
      </c>
      <c r="C43" t="s">
        <v>97</v>
      </c>
      <c r="D43" s="156">
        <v>45784</v>
      </c>
    </row>
    <row r="44" spans="1:4" x14ac:dyDescent="0.25">
      <c r="A44" s="155">
        <v>2.2000000000000002</v>
      </c>
      <c r="B44" s="196" t="s">
        <v>379</v>
      </c>
      <c r="C44" t="s">
        <v>97</v>
      </c>
      <c r="D44" s="156">
        <v>46045</v>
      </c>
    </row>
    <row r="45" spans="1:4" ht="30" x14ac:dyDescent="0.25">
      <c r="A45" s="155">
        <v>2.2999999999999998</v>
      </c>
      <c r="B45" s="196" t="s">
        <v>380</v>
      </c>
      <c r="C45" t="s">
        <v>97</v>
      </c>
      <c r="D45" s="156">
        <v>46091</v>
      </c>
    </row>
  </sheetData>
  <sheetProtection sheet="1" selectLockedCells="1"/>
  <mergeCells count="1">
    <mergeCell ref="C1:D3"/>
  </mergeCells>
  <phoneticPr fontId="13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6" r:id="rId4" name="Button 2">
              <controlPr defaultSize="0" print="0" autoFill="0" autoPict="0" macro="[0]!Ark3.MigrerDokument" altText="Hent Data">
                <anchor moveWithCells="1" sizeWithCells="1">
                  <from>
                    <xdr:col>2</xdr:col>
                    <xdr:colOff>0</xdr:colOff>
                    <xdr:row>0</xdr:row>
                    <xdr:rowOff>0</xdr:rowOff>
                  </from>
                  <to>
                    <xdr:col>4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3"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1">
    <tabColor rgb="FF00B050"/>
    <pageSetUpPr fitToPage="1"/>
  </sheetPr>
  <dimension ref="A1:X120"/>
  <sheetViews>
    <sheetView tabSelected="1" topLeftCell="A64" zoomScaleNormal="100" zoomScalePageLayoutView="20" workbookViewId="0">
      <selection activeCell="F15" sqref="F15"/>
    </sheetView>
  </sheetViews>
  <sheetFormatPr defaultColWidth="9.140625" defaultRowHeight="15" x14ac:dyDescent="0.25"/>
  <cols>
    <col min="1" max="1" width="1.42578125" style="166" customWidth="1"/>
    <col min="2" max="8" width="6" style="166" bestFit="1" customWidth="1"/>
    <col min="9" max="9" width="6" style="166" customWidth="1"/>
    <col min="10" max="17" width="7.140625" style="166" customWidth="1"/>
    <col min="18" max="18" width="1.42578125" style="166" customWidth="1"/>
    <col min="19" max="19" width="6" style="166" bestFit="1" customWidth="1"/>
    <col min="20" max="20" width="9.140625" style="166"/>
    <col min="21" max="21" width="13.28515625" style="166" bestFit="1" customWidth="1"/>
    <col min="22" max="22" width="9.5703125" style="166" bestFit="1" customWidth="1"/>
    <col min="23" max="23" width="10.5703125" style="166" bestFit="1" customWidth="1"/>
    <col min="24" max="16384" width="9.140625" style="166"/>
  </cols>
  <sheetData>
    <row r="1" spans="1:18" ht="7.5" customHeight="1" thickBot="1" x14ac:dyDescent="0.3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18" ht="15.75" thickBot="1" x14ac:dyDescent="0.3">
      <c r="A2" s="9"/>
      <c r="B2" s="298" t="s">
        <v>98</v>
      </c>
      <c r="C2" s="299"/>
      <c r="D2" s="299"/>
      <c r="E2" s="299"/>
      <c r="F2" s="299"/>
      <c r="G2" s="299"/>
      <c r="H2" s="299"/>
      <c r="I2" s="299"/>
      <c r="J2" s="300"/>
      <c r="K2" s="298" t="s">
        <v>99</v>
      </c>
      <c r="L2" s="299"/>
      <c r="M2" s="299"/>
      <c r="N2" s="299"/>
      <c r="O2" s="299"/>
      <c r="P2" s="299"/>
      <c r="Q2" s="300"/>
      <c r="R2" s="9"/>
    </row>
    <row r="3" spans="1:18" ht="6.75" customHeight="1" x14ac:dyDescent="0.25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4" spans="1:18" x14ac:dyDescent="0.25">
      <c r="A4" s="9"/>
      <c r="B4" s="294" t="s">
        <v>100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9"/>
    </row>
    <row r="5" spans="1:18" ht="15" customHeight="1" x14ac:dyDescent="0.25">
      <c r="A5" s="9"/>
      <c r="B5" s="301" t="s">
        <v>101</v>
      </c>
      <c r="C5" s="302"/>
      <c r="D5" s="303"/>
      <c r="E5" s="309" t="s">
        <v>102</v>
      </c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1"/>
      <c r="R5" s="9"/>
    </row>
    <row r="6" spans="1:18" ht="15" customHeight="1" x14ac:dyDescent="0.25">
      <c r="A6" s="9"/>
      <c r="B6" s="304" t="s">
        <v>103</v>
      </c>
      <c r="C6" s="305"/>
      <c r="D6" s="306"/>
      <c r="E6" s="312" t="s">
        <v>104</v>
      </c>
      <c r="F6" s="313"/>
      <c r="G6" s="314"/>
      <c r="H6" s="301" t="s">
        <v>105</v>
      </c>
      <c r="I6" s="302"/>
      <c r="J6" s="303"/>
      <c r="K6" s="309" t="s">
        <v>106</v>
      </c>
      <c r="L6" s="310"/>
      <c r="M6" s="311"/>
      <c r="N6" s="307" t="s">
        <v>107</v>
      </c>
      <c r="O6" s="308"/>
      <c r="P6" s="315" t="s">
        <v>108</v>
      </c>
      <c r="Q6" s="316"/>
      <c r="R6" s="9"/>
    </row>
    <row r="7" spans="1:18" ht="15" customHeight="1" x14ac:dyDescent="0.25">
      <c r="A7" s="9"/>
      <c r="B7" s="223" t="s">
        <v>109</v>
      </c>
      <c r="C7" s="224"/>
      <c r="D7" s="225"/>
      <c r="E7" s="289" t="s">
        <v>49</v>
      </c>
      <c r="F7" s="287"/>
      <c r="G7" s="288"/>
      <c r="H7" s="223" t="s">
        <v>110</v>
      </c>
      <c r="I7" s="224"/>
      <c r="J7" s="225"/>
      <c r="K7" s="287" t="s">
        <v>111</v>
      </c>
      <c r="L7" s="287"/>
      <c r="M7" s="288"/>
      <c r="N7" s="223" t="s">
        <v>360</v>
      </c>
      <c r="O7" s="225"/>
      <c r="P7" s="287" t="s">
        <v>112</v>
      </c>
      <c r="Q7" s="288"/>
      <c r="R7" s="9"/>
    </row>
    <row r="8" spans="1:18" ht="7.5" customHeight="1" x14ac:dyDescent="0.25">
      <c r="A8" s="9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9"/>
    </row>
    <row r="9" spans="1:18" x14ac:dyDescent="0.25">
      <c r="A9" s="9"/>
      <c r="B9" s="295" t="s">
        <v>113</v>
      </c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9"/>
    </row>
    <row r="10" spans="1:18" x14ac:dyDescent="0.25">
      <c r="A10" s="10"/>
      <c r="B10" s="223" t="s">
        <v>114</v>
      </c>
      <c r="C10" s="224"/>
      <c r="D10" s="225"/>
      <c r="E10" s="289" t="s">
        <v>115</v>
      </c>
      <c r="F10" s="287"/>
      <c r="G10" s="287"/>
      <c r="H10" s="287"/>
      <c r="I10" s="287"/>
      <c r="J10" s="287"/>
      <c r="K10" s="288"/>
      <c r="L10" s="223" t="s">
        <v>116</v>
      </c>
      <c r="M10" s="224"/>
      <c r="N10" s="225"/>
      <c r="O10" s="289" t="s">
        <v>49</v>
      </c>
      <c r="P10" s="287"/>
      <c r="Q10" s="288"/>
      <c r="R10" s="10"/>
    </row>
    <row r="11" spans="1:18" x14ac:dyDescent="0.25">
      <c r="A11" s="10"/>
      <c r="B11" s="223" t="s">
        <v>117</v>
      </c>
      <c r="C11" s="224"/>
      <c r="D11" s="225"/>
      <c r="E11" s="289" t="s">
        <v>118</v>
      </c>
      <c r="F11" s="287"/>
      <c r="G11" s="287"/>
      <c r="H11" s="287"/>
      <c r="I11" s="287"/>
      <c r="J11" s="287"/>
      <c r="K11" s="288"/>
      <c r="L11" s="223" t="s">
        <v>119</v>
      </c>
      <c r="M11" s="224"/>
      <c r="N11" s="225"/>
      <c r="O11" s="289" t="s">
        <v>49</v>
      </c>
      <c r="P11" s="287"/>
      <c r="Q11" s="288"/>
      <c r="R11" s="10"/>
    </row>
    <row r="12" spans="1:18" x14ac:dyDescent="0.25">
      <c r="A12" s="10"/>
      <c r="B12" s="223" t="s">
        <v>120</v>
      </c>
      <c r="C12" s="224"/>
      <c r="D12" s="225"/>
      <c r="E12" s="289" t="s">
        <v>121</v>
      </c>
      <c r="F12" s="287"/>
      <c r="G12" s="287"/>
      <c r="H12" s="287"/>
      <c r="I12" s="287"/>
      <c r="J12" s="287"/>
      <c r="K12" s="288"/>
      <c r="L12" s="223" t="s">
        <v>122</v>
      </c>
      <c r="M12" s="224"/>
      <c r="N12" s="225"/>
      <c r="O12" s="289" t="s">
        <v>123</v>
      </c>
      <c r="P12" s="287"/>
      <c r="Q12" s="288"/>
      <c r="R12" s="10"/>
    </row>
    <row r="13" spans="1:18" x14ac:dyDescent="0.25">
      <c r="A13" s="10"/>
      <c r="B13" s="223" t="s">
        <v>124</v>
      </c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5"/>
      <c r="R13" s="10"/>
    </row>
    <row r="14" spans="1:18" x14ac:dyDescent="0.25">
      <c r="A14" s="10"/>
      <c r="B14" s="5"/>
      <c r="C14" s="256" t="s">
        <v>125</v>
      </c>
      <c r="D14" s="256"/>
      <c r="E14" s="256"/>
      <c r="F14" s="256"/>
      <c r="G14" s="256"/>
      <c r="H14" s="256"/>
      <c r="I14" s="128"/>
      <c r="J14" s="223" t="s">
        <v>126</v>
      </c>
      <c r="K14" s="224"/>
      <c r="L14" s="224"/>
      <c r="M14" s="226">
        <v>0</v>
      </c>
      <c r="N14" s="227"/>
      <c r="O14" s="223" t="s">
        <v>366</v>
      </c>
      <c r="P14" s="224"/>
      <c r="Q14" s="225"/>
      <c r="R14" s="10"/>
    </row>
    <row r="15" spans="1:18" x14ac:dyDescent="0.25">
      <c r="A15" s="10"/>
      <c r="B15" s="5"/>
      <c r="C15" s="256" t="s">
        <v>127</v>
      </c>
      <c r="D15" s="256"/>
      <c r="E15" s="256"/>
      <c r="F15" s="129"/>
      <c r="G15" s="223" t="s">
        <v>128</v>
      </c>
      <c r="H15" s="224"/>
      <c r="I15" s="224"/>
      <c r="J15" s="225"/>
      <c r="K15" s="128"/>
      <c r="L15" s="223" t="s">
        <v>129</v>
      </c>
      <c r="M15" s="225"/>
      <c r="N15" s="128"/>
      <c r="O15" s="256" t="s">
        <v>130</v>
      </c>
      <c r="P15" s="256"/>
      <c r="Q15" s="256"/>
      <c r="R15" s="10"/>
    </row>
    <row r="16" spans="1:18" ht="7.5" customHeight="1" x14ac:dyDescent="0.25">
      <c r="A16" s="293"/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</row>
    <row r="17" spans="1:18" x14ac:dyDescent="0.25">
      <c r="A17" s="10"/>
      <c r="B17" s="294" t="s">
        <v>131</v>
      </c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10"/>
    </row>
    <row r="18" spans="1:18" x14ac:dyDescent="0.25">
      <c r="A18" s="10"/>
      <c r="B18" s="223" t="s">
        <v>132</v>
      </c>
      <c r="C18" s="224"/>
      <c r="D18" s="225"/>
      <c r="E18" s="289" t="s">
        <v>133</v>
      </c>
      <c r="F18" s="287"/>
      <c r="G18" s="287"/>
      <c r="H18" s="287"/>
      <c r="I18" s="287"/>
      <c r="J18" s="287"/>
      <c r="K18" s="288"/>
      <c r="L18" s="223" t="s">
        <v>119</v>
      </c>
      <c r="M18" s="224"/>
      <c r="N18" s="225"/>
      <c r="O18" s="289" t="s">
        <v>49</v>
      </c>
      <c r="P18" s="287"/>
      <c r="Q18" s="288"/>
      <c r="R18" s="10"/>
    </row>
    <row r="19" spans="1:18" x14ac:dyDescent="0.25">
      <c r="A19" s="10"/>
      <c r="B19" s="223" t="s">
        <v>117</v>
      </c>
      <c r="C19" s="224"/>
      <c r="D19" s="225"/>
      <c r="E19" s="289" t="s">
        <v>134</v>
      </c>
      <c r="F19" s="287"/>
      <c r="G19" s="287"/>
      <c r="H19" s="287"/>
      <c r="I19" s="287"/>
      <c r="J19" s="287"/>
      <c r="K19" s="288"/>
      <c r="L19" s="223" t="s">
        <v>122</v>
      </c>
      <c r="M19" s="224"/>
      <c r="N19" s="225"/>
      <c r="O19" s="289" t="s">
        <v>123</v>
      </c>
      <c r="P19" s="287"/>
      <c r="Q19" s="288"/>
      <c r="R19" s="10"/>
    </row>
    <row r="20" spans="1:18" ht="9" customHeight="1" x14ac:dyDescent="0.25">
      <c r="A20" s="293"/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</row>
    <row r="21" spans="1:18" x14ac:dyDescent="0.25">
      <c r="A21" s="10"/>
      <c r="B21" s="294" t="s">
        <v>135</v>
      </c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10"/>
    </row>
    <row r="22" spans="1:18" x14ac:dyDescent="0.25">
      <c r="A22" s="10"/>
      <c r="B22" s="223" t="s">
        <v>132</v>
      </c>
      <c r="C22" s="224"/>
      <c r="D22" s="225"/>
      <c r="E22" s="289" t="s">
        <v>136</v>
      </c>
      <c r="F22" s="287"/>
      <c r="G22" s="287"/>
      <c r="H22" s="287"/>
      <c r="I22" s="287"/>
      <c r="J22" s="287"/>
      <c r="K22" s="288"/>
      <c r="L22" s="223" t="s">
        <v>119</v>
      </c>
      <c r="M22" s="224"/>
      <c r="N22" s="225"/>
      <c r="O22" s="289" t="s">
        <v>49</v>
      </c>
      <c r="P22" s="287"/>
      <c r="Q22" s="288"/>
      <c r="R22" s="10"/>
    </row>
    <row r="23" spans="1:18" x14ac:dyDescent="0.25">
      <c r="A23" s="10"/>
      <c r="B23" s="223" t="s">
        <v>117</v>
      </c>
      <c r="C23" s="224"/>
      <c r="D23" s="225"/>
      <c r="E23" s="289" t="s">
        <v>118</v>
      </c>
      <c r="F23" s="287"/>
      <c r="G23" s="287"/>
      <c r="H23" s="287"/>
      <c r="I23" s="287"/>
      <c r="J23" s="287"/>
      <c r="K23" s="288"/>
      <c r="L23" s="223" t="s">
        <v>122</v>
      </c>
      <c r="M23" s="224"/>
      <c r="N23" s="225"/>
      <c r="O23" s="289" t="s">
        <v>123</v>
      </c>
      <c r="P23" s="287"/>
      <c r="Q23" s="288"/>
      <c r="R23" s="10"/>
    </row>
    <row r="24" spans="1:18" ht="7.5" customHeight="1" x14ac:dyDescent="0.25">
      <c r="A24" s="293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</row>
    <row r="25" spans="1:18" x14ac:dyDescent="0.25">
      <c r="A25" s="10"/>
      <c r="B25" s="294" t="s">
        <v>137</v>
      </c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10"/>
    </row>
    <row r="26" spans="1:18" x14ac:dyDescent="0.25">
      <c r="A26" s="10"/>
      <c r="B26" s="256" t="s">
        <v>138</v>
      </c>
      <c r="C26" s="256"/>
      <c r="D26" s="256"/>
      <c r="E26" s="256"/>
      <c r="F26" s="256"/>
      <c r="G26" s="256"/>
      <c r="H26" s="356">
        <v>0</v>
      </c>
      <c r="I26" s="356"/>
      <c r="J26" s="356"/>
      <c r="K26" s="356"/>
      <c r="L26" s="126"/>
      <c r="M26" s="127"/>
      <c r="N26" s="127"/>
      <c r="O26" s="127"/>
      <c r="P26" s="127"/>
      <c r="Q26" s="13"/>
      <c r="R26" s="10"/>
    </row>
    <row r="27" spans="1:18" ht="7.5" customHeight="1" x14ac:dyDescent="0.25">
      <c r="A27" s="293"/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</row>
    <row r="28" spans="1:18" x14ac:dyDescent="0.25">
      <c r="A28" s="10"/>
      <c r="B28" s="294" t="s">
        <v>365</v>
      </c>
      <c r="C28" s="294"/>
      <c r="D28" s="294"/>
      <c r="E28" s="294"/>
      <c r="F28" s="344"/>
      <c r="G28" s="294"/>
      <c r="H28" s="294"/>
      <c r="I28" s="294"/>
      <c r="J28" s="294"/>
      <c r="K28" s="344"/>
      <c r="L28" s="294"/>
      <c r="M28" s="294"/>
      <c r="N28" s="294"/>
      <c r="O28" s="294"/>
      <c r="P28" s="344"/>
      <c r="Q28" s="344"/>
      <c r="R28" s="10"/>
    </row>
    <row r="29" spans="1:18" x14ac:dyDescent="0.25">
      <c r="A29" s="10"/>
      <c r="B29" s="223" t="s">
        <v>139</v>
      </c>
      <c r="C29" s="224"/>
      <c r="D29" s="224"/>
      <c r="E29" s="224"/>
      <c r="F29" s="346"/>
      <c r="G29" s="224" t="s">
        <v>140</v>
      </c>
      <c r="H29" s="224"/>
      <c r="I29" s="224"/>
      <c r="J29" s="224"/>
      <c r="K29" s="346"/>
      <c r="L29" s="224" t="s">
        <v>141</v>
      </c>
      <c r="M29" s="224"/>
      <c r="N29" s="224"/>
      <c r="O29" s="224"/>
      <c r="P29" s="352"/>
      <c r="Q29" s="353"/>
      <c r="R29" s="10"/>
    </row>
    <row r="30" spans="1:18" x14ac:dyDescent="0.25">
      <c r="A30" s="10"/>
      <c r="B30" s="12" t="s">
        <v>142</v>
      </c>
      <c r="C30" s="5"/>
      <c r="D30" s="12" t="s">
        <v>143</v>
      </c>
      <c r="E30" s="14"/>
      <c r="F30" s="347"/>
      <c r="G30" s="13" t="s">
        <v>142</v>
      </c>
      <c r="H30" s="5"/>
      <c r="I30" s="12" t="s">
        <v>143</v>
      </c>
      <c r="J30" s="14"/>
      <c r="K30" s="347"/>
      <c r="L30" s="13" t="s">
        <v>142</v>
      </c>
      <c r="M30" s="5"/>
      <c r="N30" s="12" t="s">
        <v>143</v>
      </c>
      <c r="O30" s="14"/>
      <c r="P30" s="354"/>
      <c r="Q30" s="355"/>
      <c r="R30" s="10"/>
    </row>
    <row r="31" spans="1:18" ht="9" customHeight="1" x14ac:dyDescent="0.25">
      <c r="A31" s="293"/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</row>
    <row r="32" spans="1:18" x14ac:dyDescent="0.25">
      <c r="A32" s="10"/>
      <c r="B32" s="294" t="s">
        <v>144</v>
      </c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10"/>
    </row>
    <row r="33" spans="1:18" x14ac:dyDescent="0.25">
      <c r="A33" s="10"/>
      <c r="B33" s="256" t="s">
        <v>145</v>
      </c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10"/>
    </row>
    <row r="34" spans="1:18" x14ac:dyDescent="0.25">
      <c r="A34" s="10"/>
      <c r="B34" s="256" t="s">
        <v>146</v>
      </c>
      <c r="C34" s="256"/>
      <c r="D34" s="256"/>
      <c r="E34" s="256" t="s">
        <v>147</v>
      </c>
      <c r="F34" s="256"/>
      <c r="G34" s="256"/>
      <c r="H34" s="256" t="s">
        <v>148</v>
      </c>
      <c r="I34" s="256"/>
      <c r="J34" s="256"/>
      <c r="K34" s="256" t="s">
        <v>149</v>
      </c>
      <c r="L34" s="256"/>
      <c r="M34" s="256"/>
      <c r="N34" s="256" t="s">
        <v>150</v>
      </c>
      <c r="O34" s="256"/>
      <c r="P34" s="256"/>
      <c r="Q34" s="256"/>
      <c r="R34" s="10"/>
    </row>
    <row r="35" spans="1:18" x14ac:dyDescent="0.25">
      <c r="A35" s="10"/>
      <c r="B35" s="337">
        <v>0</v>
      </c>
      <c r="C35" s="337"/>
      <c r="D35" s="337"/>
      <c r="E35" s="337">
        <v>0</v>
      </c>
      <c r="F35" s="337"/>
      <c r="G35" s="337"/>
      <c r="H35" s="336">
        <v>0</v>
      </c>
      <c r="I35" s="336"/>
      <c r="J35" s="336"/>
      <c r="K35" s="343">
        <v>0</v>
      </c>
      <c r="L35" s="343"/>
      <c r="M35" s="343"/>
      <c r="N35" s="343">
        <v>0</v>
      </c>
      <c r="O35" s="343"/>
      <c r="P35" s="343"/>
      <c r="Q35" s="343"/>
      <c r="R35" s="10"/>
    </row>
    <row r="36" spans="1:18" x14ac:dyDescent="0.25">
      <c r="A36" s="10"/>
      <c r="B36" s="357" t="s">
        <v>151</v>
      </c>
      <c r="C36" s="358"/>
      <c r="D36" s="358"/>
      <c r="E36" s="224"/>
      <c r="F36" s="224"/>
      <c r="G36" s="224"/>
      <c r="H36" s="358"/>
      <c r="I36" s="358"/>
      <c r="J36" s="358"/>
      <c r="K36" s="224"/>
      <c r="L36" s="224"/>
      <c r="M36" s="224"/>
      <c r="N36" s="224"/>
      <c r="O36" s="224"/>
      <c r="P36" s="224"/>
      <c r="Q36" s="225"/>
      <c r="R36" s="10"/>
    </row>
    <row r="37" spans="1:18" x14ac:dyDescent="0.25">
      <c r="A37" s="10"/>
      <c r="B37" s="223" t="s">
        <v>152</v>
      </c>
      <c r="C37" s="224"/>
      <c r="D37" s="224"/>
      <c r="E37" s="225"/>
      <c r="F37" s="359" t="s">
        <v>5</v>
      </c>
      <c r="G37" s="360"/>
      <c r="H37" s="361"/>
      <c r="I37" s="362"/>
      <c r="J37" s="363"/>
      <c r="K37" s="364" t="s">
        <v>153</v>
      </c>
      <c r="L37" s="365"/>
      <c r="M37" s="366"/>
      <c r="N37" s="367">
        <v>0</v>
      </c>
      <c r="O37" s="368"/>
      <c r="P37" s="223" t="s">
        <v>154</v>
      </c>
      <c r="Q37" s="225"/>
      <c r="R37" s="10"/>
    </row>
    <row r="38" spans="1:18" x14ac:dyDescent="0.25">
      <c r="A38" s="10"/>
      <c r="B38" s="256" t="s">
        <v>155</v>
      </c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10"/>
    </row>
    <row r="39" spans="1:18" x14ac:dyDescent="0.25">
      <c r="A39" s="10"/>
      <c r="B39" s="256" t="s">
        <v>146</v>
      </c>
      <c r="C39" s="256"/>
      <c r="D39" s="256"/>
      <c r="E39" s="256" t="s">
        <v>147</v>
      </c>
      <c r="F39" s="256"/>
      <c r="G39" s="256"/>
      <c r="H39" s="256" t="s">
        <v>148</v>
      </c>
      <c r="I39" s="256"/>
      <c r="J39" s="256"/>
      <c r="K39" s="256" t="s">
        <v>149</v>
      </c>
      <c r="L39" s="256"/>
      <c r="M39" s="256"/>
      <c r="N39" s="256" t="s">
        <v>150</v>
      </c>
      <c r="O39" s="256"/>
      <c r="P39" s="256"/>
      <c r="Q39" s="256"/>
      <c r="R39" s="10"/>
    </row>
    <row r="40" spans="1:18" x14ac:dyDescent="0.25">
      <c r="A40" s="10"/>
      <c r="B40" s="337">
        <v>0</v>
      </c>
      <c r="C40" s="337"/>
      <c r="D40" s="337"/>
      <c r="E40" s="337">
        <v>0</v>
      </c>
      <c r="F40" s="337"/>
      <c r="G40" s="337"/>
      <c r="H40" s="336">
        <v>0</v>
      </c>
      <c r="I40" s="336"/>
      <c r="J40" s="336"/>
      <c r="K40" s="343">
        <v>0</v>
      </c>
      <c r="L40" s="343"/>
      <c r="M40" s="343"/>
      <c r="N40" s="343">
        <v>0</v>
      </c>
      <c r="O40" s="343"/>
      <c r="P40" s="343"/>
      <c r="Q40" s="343"/>
      <c r="R40" s="10"/>
    </row>
    <row r="41" spans="1:18" x14ac:dyDescent="0.25">
      <c r="A41" s="10"/>
      <c r="B41" s="223" t="s">
        <v>156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5"/>
      <c r="R41" s="10"/>
    </row>
    <row r="42" spans="1:18" x14ac:dyDescent="0.25">
      <c r="A42" s="10"/>
      <c r="B42" s="256" t="s">
        <v>157</v>
      </c>
      <c r="C42" s="256"/>
      <c r="D42" s="256"/>
      <c r="E42" s="348">
        <v>0</v>
      </c>
      <c r="F42" s="349"/>
      <c r="G42" s="350"/>
      <c r="H42" s="256" t="s">
        <v>158</v>
      </c>
      <c r="I42" s="256"/>
      <c r="J42" s="256"/>
      <c r="K42" s="348">
        <v>0</v>
      </c>
      <c r="L42" s="349"/>
      <c r="M42" s="350"/>
      <c r="N42" s="351"/>
      <c r="O42" s="351"/>
      <c r="P42" s="351"/>
      <c r="Q42" s="351"/>
      <c r="R42" s="10"/>
    </row>
    <row r="43" spans="1:18" x14ac:dyDescent="0.25">
      <c r="A43" s="10"/>
      <c r="B43" s="357" t="s">
        <v>159</v>
      </c>
      <c r="C43" s="358"/>
      <c r="D43" s="358"/>
      <c r="E43" s="224"/>
      <c r="F43" s="224"/>
      <c r="G43" s="224"/>
      <c r="H43" s="358"/>
      <c r="I43" s="358"/>
      <c r="J43" s="358"/>
      <c r="K43" s="224"/>
      <c r="L43" s="224"/>
      <c r="M43" s="224"/>
      <c r="N43" s="224"/>
      <c r="O43" s="224"/>
      <c r="P43" s="224"/>
      <c r="Q43" s="225"/>
      <c r="R43" s="10"/>
    </row>
    <row r="44" spans="1:18" x14ac:dyDescent="0.25">
      <c r="A44" s="10"/>
      <c r="B44" s="223" t="s">
        <v>160</v>
      </c>
      <c r="C44" s="224"/>
      <c r="D44" s="224"/>
      <c r="E44" s="225"/>
      <c r="F44" s="359" t="s">
        <v>5</v>
      </c>
      <c r="G44" s="360"/>
      <c r="H44" s="361"/>
      <c r="I44" s="362"/>
      <c r="J44" s="363"/>
      <c r="K44" s="364" t="s">
        <v>161</v>
      </c>
      <c r="L44" s="365"/>
      <c r="M44" s="366"/>
      <c r="N44" s="367">
        <v>0</v>
      </c>
      <c r="O44" s="368"/>
      <c r="P44" s="223" t="s">
        <v>154</v>
      </c>
      <c r="Q44" s="225"/>
      <c r="R44" s="10"/>
    </row>
    <row r="45" spans="1:18" ht="7.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10"/>
      <c r="B46" s="294" t="s">
        <v>162</v>
      </c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10"/>
    </row>
    <row r="47" spans="1:18" x14ac:dyDescent="0.25">
      <c r="A47" s="10"/>
      <c r="B47" s="256" t="s">
        <v>23</v>
      </c>
      <c r="C47" s="256"/>
      <c r="D47" s="256"/>
      <c r="E47" s="256"/>
      <c r="F47" s="256"/>
      <c r="G47" s="256"/>
      <c r="H47" s="256"/>
      <c r="I47" s="256"/>
      <c r="J47" s="256"/>
      <c r="K47" s="256"/>
      <c r="L47" s="345">
        <f>J110</f>
        <v>0</v>
      </c>
      <c r="M47" s="345"/>
      <c r="N47" s="345"/>
      <c r="O47" s="345"/>
      <c r="P47" s="345"/>
      <c r="Q47" s="345"/>
      <c r="R47" s="10"/>
    </row>
    <row r="48" spans="1:18" x14ac:dyDescent="0.25">
      <c r="A48" s="10"/>
      <c r="B48" s="223" t="s">
        <v>163</v>
      </c>
      <c r="C48" s="224"/>
      <c r="D48" s="224"/>
      <c r="E48" s="224"/>
      <c r="F48" s="224"/>
      <c r="G48" s="224"/>
      <c r="H48" s="224"/>
      <c r="I48" s="224"/>
      <c r="J48" s="224"/>
      <c r="K48" s="225"/>
      <c r="L48" s="339">
        <f>J113</f>
        <v>0</v>
      </c>
      <c r="M48" s="340"/>
      <c r="N48" s="340"/>
      <c r="O48" s="340"/>
      <c r="P48" s="340"/>
      <c r="Q48" s="341"/>
      <c r="R48" s="10"/>
    </row>
    <row r="49" spans="1:18" x14ac:dyDescent="0.25">
      <c r="A49" s="10"/>
      <c r="B49" s="223" t="s">
        <v>164</v>
      </c>
      <c r="C49" s="224"/>
      <c r="D49" s="224"/>
      <c r="E49" s="224"/>
      <c r="F49" s="224"/>
      <c r="G49" s="224"/>
      <c r="H49" s="224"/>
      <c r="I49" s="224"/>
      <c r="J49" s="224"/>
      <c r="K49" s="225"/>
      <c r="L49" s="339">
        <f>P111</f>
        <v>0</v>
      </c>
      <c r="M49" s="340"/>
      <c r="N49" s="340"/>
      <c r="O49" s="340"/>
      <c r="P49" s="340"/>
      <c r="Q49" s="341"/>
      <c r="R49" s="10"/>
    </row>
    <row r="50" spans="1:18" x14ac:dyDescent="0.25">
      <c r="A50" s="10"/>
      <c r="B50" s="223" t="s">
        <v>165</v>
      </c>
      <c r="C50" s="224"/>
      <c r="D50" s="224"/>
      <c r="E50" s="224"/>
      <c r="F50" s="224"/>
      <c r="G50" s="224"/>
      <c r="H50" s="224"/>
      <c r="I50" s="224"/>
      <c r="J50" s="224"/>
      <c r="K50" s="225"/>
      <c r="L50" s="290">
        <v>0</v>
      </c>
      <c r="M50" s="291"/>
      <c r="N50" s="291"/>
      <c r="O50" s="291"/>
      <c r="P50" s="291"/>
      <c r="Q50" s="292"/>
      <c r="R50" s="10"/>
    </row>
    <row r="51" spans="1:18" x14ac:dyDescent="0.25">
      <c r="A51" s="10"/>
      <c r="B51" s="256" t="s">
        <v>166</v>
      </c>
      <c r="C51" s="256"/>
      <c r="D51" s="256"/>
      <c r="E51" s="256"/>
      <c r="F51" s="256"/>
      <c r="G51" s="256"/>
      <c r="H51" s="256"/>
      <c r="I51" s="256"/>
      <c r="J51" s="256"/>
      <c r="K51" s="256"/>
      <c r="L51" s="290">
        <v>0</v>
      </c>
      <c r="M51" s="291"/>
      <c r="N51" s="291"/>
      <c r="O51" s="291"/>
      <c r="P51" s="291"/>
      <c r="Q51" s="292"/>
      <c r="R51" s="10"/>
    </row>
    <row r="52" spans="1:18" x14ac:dyDescent="0.25">
      <c r="A52" s="10"/>
      <c r="B52" s="223" t="s">
        <v>167</v>
      </c>
      <c r="C52" s="224"/>
      <c r="D52" s="224"/>
      <c r="E52" s="224"/>
      <c r="F52" s="224"/>
      <c r="G52" s="224"/>
      <c r="H52" s="224"/>
      <c r="I52" s="224"/>
      <c r="J52" s="224"/>
      <c r="K52" s="225"/>
      <c r="L52" s="290">
        <v>0</v>
      </c>
      <c r="M52" s="291"/>
      <c r="N52" s="291"/>
      <c r="O52" s="291"/>
      <c r="P52" s="291"/>
      <c r="Q52" s="292"/>
      <c r="R52" s="10"/>
    </row>
    <row r="53" spans="1:18" x14ac:dyDescent="0.25">
      <c r="A53" s="10"/>
      <c r="B53" s="256" t="s">
        <v>168</v>
      </c>
      <c r="C53" s="256"/>
      <c r="D53" s="256"/>
      <c r="E53" s="256"/>
      <c r="F53" s="256"/>
      <c r="G53" s="256"/>
      <c r="H53" s="256"/>
      <c r="I53" s="256"/>
      <c r="J53" s="256"/>
      <c r="K53" s="256"/>
      <c r="L53" s="342">
        <f>L47-L48-L51</f>
        <v>0</v>
      </c>
      <c r="M53" s="342"/>
      <c r="N53" s="342"/>
      <c r="O53" s="342"/>
      <c r="P53" s="342"/>
      <c r="Q53" s="342"/>
      <c r="R53" s="10"/>
    </row>
    <row r="54" spans="1:18" ht="7.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10"/>
      <c r="B55" s="294" t="s">
        <v>169</v>
      </c>
      <c r="C55" s="294"/>
      <c r="D55" s="294"/>
      <c r="E55" s="294"/>
      <c r="F55" s="294"/>
      <c r="G55" s="294"/>
      <c r="H55" s="294"/>
      <c r="I55" s="294"/>
      <c r="J55" s="294"/>
      <c r="K55" s="294"/>
      <c r="L55" s="294"/>
      <c r="M55" s="294"/>
      <c r="N55" s="294"/>
      <c r="O55" s="294"/>
      <c r="P55" s="294"/>
      <c r="Q55" s="294"/>
      <c r="R55" s="10"/>
    </row>
    <row r="56" spans="1:18" x14ac:dyDescent="0.25">
      <c r="A56" s="10"/>
      <c r="B56" s="256" t="s">
        <v>362</v>
      </c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331">
        <v>0</v>
      </c>
      <c r="N56" s="331"/>
      <c r="O56" s="331"/>
      <c r="P56" s="331"/>
      <c r="Q56" s="331"/>
      <c r="R56" s="10"/>
    </row>
    <row r="57" spans="1:18" x14ac:dyDescent="0.25">
      <c r="A57" s="10"/>
      <c r="B57" s="256" t="s">
        <v>171</v>
      </c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331">
        <v>0</v>
      </c>
      <c r="N57" s="331"/>
      <c r="O57" s="331"/>
      <c r="P57" s="331"/>
      <c r="Q57" s="331"/>
      <c r="R57" s="10"/>
    </row>
    <row r="58" spans="1:18" ht="7.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10"/>
      <c r="B59" s="294" t="s">
        <v>172</v>
      </c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  <c r="Q59" s="294"/>
      <c r="R59" s="10"/>
    </row>
    <row r="60" spans="1:18" ht="30" customHeight="1" x14ac:dyDescent="0.25">
      <c r="A60" s="10"/>
      <c r="B60" s="338" t="s">
        <v>173</v>
      </c>
      <c r="C60" s="338"/>
      <c r="D60" s="338"/>
      <c r="E60" s="338"/>
      <c r="F60" s="338"/>
      <c r="G60" s="338"/>
      <c r="H60" s="338"/>
      <c r="I60" s="338"/>
      <c r="J60" s="338"/>
      <c r="K60" s="338"/>
      <c r="L60" s="338"/>
      <c r="M60" s="338"/>
      <c r="N60" s="338"/>
      <c r="O60" s="338"/>
      <c r="P60" s="338"/>
      <c r="Q60" s="338"/>
      <c r="R60" s="10"/>
    </row>
    <row r="61" spans="1:18" ht="43.5" customHeight="1" x14ac:dyDescent="0.25">
      <c r="A61" s="10"/>
      <c r="B61" s="326"/>
      <c r="C61" s="327"/>
      <c r="D61" s="327"/>
      <c r="E61" s="327"/>
      <c r="F61" s="327"/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8"/>
      <c r="R61" s="10"/>
    </row>
    <row r="62" spans="1:18" ht="7.5" customHeight="1" thickBo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ht="15.75" thickBot="1" x14ac:dyDescent="0.3">
      <c r="A63" s="10"/>
      <c r="B63" s="230" t="s">
        <v>174</v>
      </c>
      <c r="C63" s="231"/>
      <c r="D63" s="231"/>
      <c r="E63" s="231"/>
      <c r="F63" s="231"/>
      <c r="G63" s="231"/>
      <c r="H63" s="231"/>
      <c r="I63" s="232"/>
      <c r="J63" s="329" t="s">
        <v>175</v>
      </c>
      <c r="K63" s="330"/>
      <c r="L63" s="329" t="s">
        <v>176</v>
      </c>
      <c r="M63" s="330"/>
      <c r="N63" s="329" t="s">
        <v>177</v>
      </c>
      <c r="O63" s="330"/>
      <c r="P63" s="329" t="s">
        <v>178</v>
      </c>
      <c r="Q63" s="330"/>
      <c r="R63" s="10"/>
    </row>
    <row r="64" spans="1:18" ht="45" customHeight="1" x14ac:dyDescent="0.25">
      <c r="A64" s="10"/>
      <c r="B64" s="212" t="s">
        <v>229</v>
      </c>
      <c r="C64" s="229" t="s">
        <v>179</v>
      </c>
      <c r="D64" s="229"/>
      <c r="E64" s="229"/>
      <c r="F64" s="229"/>
      <c r="G64" s="229"/>
      <c r="H64" s="213" t="s">
        <v>180</v>
      </c>
      <c r="I64" s="211"/>
      <c r="J64" s="317" t="s">
        <v>148</v>
      </c>
      <c r="K64" s="317"/>
      <c r="L64" s="317" t="s">
        <v>181</v>
      </c>
      <c r="M64" s="317"/>
      <c r="N64" s="332" t="str">
        <f>IF(F15="Ja","Vedligehold","Støttede arbejder")</f>
        <v>Støttede arbejder</v>
      </c>
      <c r="O64" s="332"/>
      <c r="P64" s="332" t="s">
        <v>354</v>
      </c>
      <c r="Q64" s="332"/>
      <c r="R64" s="10"/>
    </row>
    <row r="65" spans="1:21" x14ac:dyDescent="0.25">
      <c r="A65" s="9"/>
      <c r="B65" s="205" t="s">
        <v>182</v>
      </c>
      <c r="C65" s="333" t="s">
        <v>183</v>
      </c>
      <c r="D65" s="334"/>
      <c r="E65" s="334"/>
      <c r="F65" s="334"/>
      <c r="G65" s="335"/>
      <c r="H65" s="7" t="s">
        <v>184</v>
      </c>
      <c r="I65" s="6">
        <v>0</v>
      </c>
      <c r="J65" s="280">
        <f t="shared" ref="J65:J82" si="0">+L65+N65+P65</f>
        <v>0</v>
      </c>
      <c r="K65" s="280"/>
      <c r="L65" s="272">
        <v>0</v>
      </c>
      <c r="M65" s="272"/>
      <c r="N65" s="272">
        <v>0</v>
      </c>
      <c r="O65" s="272"/>
      <c r="P65" s="272">
        <v>0</v>
      </c>
      <c r="Q65" s="272"/>
      <c r="R65" s="9"/>
    </row>
    <row r="66" spans="1:21" ht="15" customHeight="1" x14ac:dyDescent="0.25">
      <c r="A66" s="9"/>
      <c r="B66" s="2" t="s">
        <v>185</v>
      </c>
      <c r="C66" s="260" t="s">
        <v>186</v>
      </c>
      <c r="D66" s="261"/>
      <c r="E66" s="261"/>
      <c r="F66" s="261"/>
      <c r="G66" s="262"/>
      <c r="H66" s="7" t="s">
        <v>184</v>
      </c>
      <c r="I66" s="6">
        <v>0</v>
      </c>
      <c r="J66" s="280">
        <f t="shared" si="0"/>
        <v>0</v>
      </c>
      <c r="K66" s="280"/>
      <c r="L66" s="272">
        <v>0</v>
      </c>
      <c r="M66" s="272"/>
      <c r="N66" s="272">
        <v>0</v>
      </c>
      <c r="O66" s="272"/>
      <c r="P66" s="272">
        <v>0</v>
      </c>
      <c r="Q66" s="272"/>
      <c r="R66" s="9"/>
    </row>
    <row r="67" spans="1:21" x14ac:dyDescent="0.25">
      <c r="A67" s="9"/>
      <c r="B67" s="2" t="s">
        <v>187</v>
      </c>
      <c r="C67" s="260" t="s">
        <v>188</v>
      </c>
      <c r="D67" s="261"/>
      <c r="E67" s="261"/>
      <c r="F67" s="261"/>
      <c r="G67" s="262"/>
      <c r="H67" s="7" t="s">
        <v>184</v>
      </c>
      <c r="I67" s="6">
        <v>0</v>
      </c>
      <c r="J67" s="280">
        <f t="shared" si="0"/>
        <v>0</v>
      </c>
      <c r="K67" s="280"/>
      <c r="L67" s="272">
        <v>0</v>
      </c>
      <c r="M67" s="272"/>
      <c r="N67" s="272">
        <v>0</v>
      </c>
      <c r="O67" s="272"/>
      <c r="P67" s="272">
        <v>0</v>
      </c>
      <c r="Q67" s="272"/>
      <c r="R67" s="9"/>
    </row>
    <row r="68" spans="1:21" x14ac:dyDescent="0.25">
      <c r="A68" s="9"/>
      <c r="B68" s="2" t="s">
        <v>189</v>
      </c>
      <c r="C68" s="260" t="s">
        <v>190</v>
      </c>
      <c r="D68" s="261"/>
      <c r="E68" s="261"/>
      <c r="F68" s="261"/>
      <c r="G68" s="262"/>
      <c r="H68" s="7" t="s">
        <v>191</v>
      </c>
      <c r="I68" s="6">
        <v>0</v>
      </c>
      <c r="J68" s="280">
        <f t="shared" si="0"/>
        <v>0</v>
      </c>
      <c r="K68" s="280"/>
      <c r="L68" s="272">
        <v>0</v>
      </c>
      <c r="M68" s="272"/>
      <c r="N68" s="272">
        <v>0</v>
      </c>
      <c r="O68" s="272"/>
      <c r="P68" s="272">
        <v>0</v>
      </c>
      <c r="Q68" s="272"/>
      <c r="R68" s="9"/>
    </row>
    <row r="69" spans="1:21" x14ac:dyDescent="0.25">
      <c r="A69" s="9"/>
      <c r="B69" s="2" t="s">
        <v>192</v>
      </c>
      <c r="C69" s="260" t="s">
        <v>193</v>
      </c>
      <c r="D69" s="261"/>
      <c r="E69" s="261"/>
      <c r="F69" s="261"/>
      <c r="G69" s="262"/>
      <c r="H69" s="7" t="s">
        <v>191</v>
      </c>
      <c r="I69" s="6">
        <v>0</v>
      </c>
      <c r="J69" s="280">
        <f t="shared" si="0"/>
        <v>0</v>
      </c>
      <c r="K69" s="280"/>
      <c r="L69" s="272">
        <v>0</v>
      </c>
      <c r="M69" s="272"/>
      <c r="N69" s="272">
        <v>0</v>
      </c>
      <c r="O69" s="272"/>
      <c r="P69" s="272">
        <v>0</v>
      </c>
      <c r="Q69" s="272"/>
      <c r="R69" s="9"/>
    </row>
    <row r="70" spans="1:21" x14ac:dyDescent="0.25">
      <c r="A70" s="9"/>
      <c r="B70" s="2" t="s">
        <v>194</v>
      </c>
      <c r="C70" s="260" t="s">
        <v>195</v>
      </c>
      <c r="D70" s="261"/>
      <c r="E70" s="261"/>
      <c r="F70" s="261"/>
      <c r="G70" s="262"/>
      <c r="H70" s="7" t="s">
        <v>191</v>
      </c>
      <c r="I70" s="6">
        <v>0</v>
      </c>
      <c r="J70" s="280">
        <f t="shared" si="0"/>
        <v>0</v>
      </c>
      <c r="K70" s="280"/>
      <c r="L70" s="272">
        <v>0</v>
      </c>
      <c r="M70" s="272"/>
      <c r="N70" s="272">
        <v>0</v>
      </c>
      <c r="O70" s="272"/>
      <c r="P70" s="272">
        <v>0</v>
      </c>
      <c r="Q70" s="272"/>
      <c r="R70" s="9"/>
    </row>
    <row r="71" spans="1:21" x14ac:dyDescent="0.25">
      <c r="A71" s="9"/>
      <c r="B71" s="2" t="s">
        <v>196</v>
      </c>
      <c r="C71" s="260" t="s">
        <v>197</v>
      </c>
      <c r="D71" s="261"/>
      <c r="E71" s="261"/>
      <c r="F71" s="261"/>
      <c r="G71" s="262"/>
      <c r="H71" s="7" t="s">
        <v>191</v>
      </c>
      <c r="I71" s="6">
        <v>0</v>
      </c>
      <c r="J71" s="280">
        <f t="shared" si="0"/>
        <v>0</v>
      </c>
      <c r="K71" s="280"/>
      <c r="L71" s="272">
        <v>0</v>
      </c>
      <c r="M71" s="272"/>
      <c r="N71" s="272">
        <v>0</v>
      </c>
      <c r="O71" s="272"/>
      <c r="P71" s="272">
        <v>0</v>
      </c>
      <c r="Q71" s="272"/>
      <c r="R71" s="9"/>
    </row>
    <row r="72" spans="1:21" x14ac:dyDescent="0.25">
      <c r="A72" s="9"/>
      <c r="B72" s="2" t="s">
        <v>198</v>
      </c>
      <c r="C72" s="260" t="s">
        <v>199</v>
      </c>
      <c r="D72" s="261"/>
      <c r="E72" s="261"/>
      <c r="F72" s="261"/>
      <c r="G72" s="262"/>
      <c r="H72" s="7" t="s">
        <v>200</v>
      </c>
      <c r="I72" s="6">
        <v>0</v>
      </c>
      <c r="J72" s="280">
        <f t="shared" si="0"/>
        <v>0</v>
      </c>
      <c r="K72" s="280"/>
      <c r="L72" s="272">
        <v>0</v>
      </c>
      <c r="M72" s="272"/>
      <c r="N72" s="272">
        <v>0</v>
      </c>
      <c r="O72" s="272"/>
      <c r="P72" s="272">
        <v>0</v>
      </c>
      <c r="Q72" s="272"/>
      <c r="R72" s="9"/>
    </row>
    <row r="73" spans="1:21" x14ac:dyDescent="0.25">
      <c r="A73" s="9"/>
      <c r="B73" s="2" t="s">
        <v>201</v>
      </c>
      <c r="C73" s="260" t="s">
        <v>202</v>
      </c>
      <c r="D73" s="261"/>
      <c r="E73" s="261"/>
      <c r="F73" s="261"/>
      <c r="G73" s="262"/>
      <c r="H73" s="7" t="s">
        <v>191</v>
      </c>
      <c r="I73" s="6" t="s">
        <v>264</v>
      </c>
      <c r="J73" s="280">
        <f t="shared" si="0"/>
        <v>0</v>
      </c>
      <c r="K73" s="280"/>
      <c r="L73" s="272">
        <v>0</v>
      </c>
      <c r="M73" s="272"/>
      <c r="N73" s="272">
        <v>0</v>
      </c>
      <c r="O73" s="272"/>
      <c r="P73" s="272">
        <v>0</v>
      </c>
      <c r="Q73" s="272"/>
      <c r="R73" s="9"/>
    </row>
    <row r="74" spans="1:21" x14ac:dyDescent="0.25">
      <c r="A74" s="9"/>
      <c r="B74" s="2" t="s">
        <v>203</v>
      </c>
      <c r="C74" s="260" t="s">
        <v>204</v>
      </c>
      <c r="D74" s="261"/>
      <c r="E74" s="261"/>
      <c r="F74" s="261"/>
      <c r="G74" s="262"/>
      <c r="H74" s="7" t="s">
        <v>191</v>
      </c>
      <c r="I74" s="6">
        <v>0</v>
      </c>
      <c r="J74" s="280">
        <f>+L74+N74+P74</f>
        <v>0</v>
      </c>
      <c r="K74" s="280"/>
      <c r="L74" s="272">
        <v>0</v>
      </c>
      <c r="M74" s="272"/>
      <c r="N74" s="272">
        <v>0</v>
      </c>
      <c r="O74" s="272"/>
      <c r="P74" s="272">
        <v>0</v>
      </c>
      <c r="Q74" s="272"/>
      <c r="R74" s="9"/>
    </row>
    <row r="75" spans="1:21" x14ac:dyDescent="0.25">
      <c r="A75" s="9"/>
      <c r="B75" s="2" t="s">
        <v>205</v>
      </c>
      <c r="C75" s="260" t="s">
        <v>206</v>
      </c>
      <c r="D75" s="261"/>
      <c r="E75" s="261"/>
      <c r="F75" s="261"/>
      <c r="G75" s="262"/>
      <c r="H75" s="7" t="s">
        <v>207</v>
      </c>
      <c r="I75" s="6">
        <v>0</v>
      </c>
      <c r="J75" s="280">
        <f t="shared" si="0"/>
        <v>0</v>
      </c>
      <c r="K75" s="280"/>
      <c r="L75" s="272">
        <v>0</v>
      </c>
      <c r="M75" s="272"/>
      <c r="N75" s="272">
        <v>0</v>
      </c>
      <c r="O75" s="272"/>
      <c r="P75" s="272">
        <v>0</v>
      </c>
      <c r="Q75" s="272"/>
      <c r="R75" s="9"/>
    </row>
    <row r="76" spans="1:21" x14ac:dyDescent="0.25">
      <c r="A76" s="9"/>
      <c r="B76" s="2" t="s">
        <v>208</v>
      </c>
      <c r="C76" s="260" t="s">
        <v>209</v>
      </c>
      <c r="D76" s="261"/>
      <c r="E76" s="261"/>
      <c r="F76" s="261"/>
      <c r="G76" s="262"/>
      <c r="H76" s="7" t="s">
        <v>207</v>
      </c>
      <c r="I76" s="6">
        <v>0</v>
      </c>
      <c r="J76" s="280">
        <f t="shared" si="0"/>
        <v>0</v>
      </c>
      <c r="K76" s="280"/>
      <c r="L76" s="272">
        <v>0</v>
      </c>
      <c r="M76" s="272"/>
      <c r="N76" s="272">
        <v>0</v>
      </c>
      <c r="O76" s="272"/>
      <c r="P76" s="272">
        <v>0</v>
      </c>
      <c r="Q76" s="272"/>
      <c r="R76" s="9"/>
    </row>
    <row r="77" spans="1:21" x14ac:dyDescent="0.25">
      <c r="A77" s="9"/>
      <c r="B77" s="2" t="s">
        <v>210</v>
      </c>
      <c r="C77" s="260" t="s">
        <v>211</v>
      </c>
      <c r="D77" s="261"/>
      <c r="E77" s="261"/>
      <c r="F77" s="261"/>
      <c r="G77" s="262"/>
      <c r="H77" s="7" t="s">
        <v>191</v>
      </c>
      <c r="I77" s="6">
        <v>0</v>
      </c>
      <c r="J77" s="280">
        <f t="shared" ref="J77" si="1">+L77+N77+P77</f>
        <v>0</v>
      </c>
      <c r="K77" s="280"/>
      <c r="L77" s="272">
        <v>0</v>
      </c>
      <c r="M77" s="272"/>
      <c r="N77" s="272">
        <v>0</v>
      </c>
      <c r="O77" s="272"/>
      <c r="P77" s="272">
        <v>0</v>
      </c>
      <c r="Q77" s="272"/>
      <c r="R77" s="9"/>
      <c r="U77" s="167"/>
    </row>
    <row r="78" spans="1:21" x14ac:dyDescent="0.25">
      <c r="A78" s="9"/>
      <c r="B78" s="2" t="s">
        <v>212</v>
      </c>
      <c r="C78" s="260" t="s">
        <v>213</v>
      </c>
      <c r="D78" s="261"/>
      <c r="E78" s="261"/>
      <c r="F78" s="261"/>
      <c r="G78" s="262"/>
      <c r="H78" s="7" t="s">
        <v>207</v>
      </c>
      <c r="I78" s="6">
        <v>0</v>
      </c>
      <c r="J78" s="280">
        <f>+L78+N78+P78</f>
        <v>0</v>
      </c>
      <c r="K78" s="280"/>
      <c r="L78" s="272">
        <v>0</v>
      </c>
      <c r="M78" s="272"/>
      <c r="N78" s="272">
        <v>0</v>
      </c>
      <c r="O78" s="272"/>
      <c r="P78" s="272">
        <v>0</v>
      </c>
      <c r="Q78" s="272"/>
      <c r="R78" s="9"/>
      <c r="U78" s="167"/>
    </row>
    <row r="79" spans="1:21" x14ac:dyDescent="0.25">
      <c r="A79" s="9"/>
      <c r="B79" s="2" t="s">
        <v>214</v>
      </c>
      <c r="C79" s="260" t="s">
        <v>215</v>
      </c>
      <c r="D79" s="261"/>
      <c r="E79" s="261"/>
      <c r="F79" s="261"/>
      <c r="G79" s="262"/>
      <c r="H79" s="7" t="s">
        <v>207</v>
      </c>
      <c r="I79" s="6">
        <v>0</v>
      </c>
      <c r="J79" s="280">
        <f t="shared" si="0"/>
        <v>0</v>
      </c>
      <c r="K79" s="280"/>
      <c r="L79" s="272">
        <v>0</v>
      </c>
      <c r="M79" s="272"/>
      <c r="N79" s="272">
        <v>0</v>
      </c>
      <c r="O79" s="272"/>
      <c r="P79" s="272">
        <v>0</v>
      </c>
      <c r="Q79" s="272"/>
      <c r="R79" s="9"/>
    </row>
    <row r="80" spans="1:21" x14ac:dyDescent="0.25">
      <c r="A80" s="9"/>
      <c r="B80" s="2" t="s">
        <v>216</v>
      </c>
      <c r="C80" s="260" t="s">
        <v>217</v>
      </c>
      <c r="D80" s="261"/>
      <c r="E80" s="261"/>
      <c r="F80" s="261"/>
      <c r="G80" s="262"/>
      <c r="H80" s="7" t="s">
        <v>207</v>
      </c>
      <c r="I80" s="6">
        <v>0</v>
      </c>
      <c r="J80" s="280">
        <f t="shared" si="0"/>
        <v>0</v>
      </c>
      <c r="K80" s="280"/>
      <c r="L80" s="272">
        <v>0</v>
      </c>
      <c r="M80" s="272"/>
      <c r="N80" s="272">
        <v>0</v>
      </c>
      <c r="O80" s="272"/>
      <c r="P80" s="272">
        <v>0</v>
      </c>
      <c r="Q80" s="272"/>
      <c r="R80" s="9"/>
    </row>
    <row r="81" spans="1:24" x14ac:dyDescent="0.25">
      <c r="A81" s="9"/>
      <c r="B81" s="2" t="s">
        <v>218</v>
      </c>
      <c r="C81" s="260" t="s">
        <v>219</v>
      </c>
      <c r="D81" s="261"/>
      <c r="E81" s="261"/>
      <c r="F81" s="261"/>
      <c r="G81" s="262"/>
      <c r="H81" s="7" t="s">
        <v>207</v>
      </c>
      <c r="I81" s="6">
        <v>0</v>
      </c>
      <c r="J81" s="280">
        <f t="shared" si="0"/>
        <v>0</v>
      </c>
      <c r="K81" s="280"/>
      <c r="L81" s="272">
        <v>0</v>
      </c>
      <c r="M81" s="272"/>
      <c r="N81" s="272">
        <v>0</v>
      </c>
      <c r="O81" s="272"/>
      <c r="P81" s="272">
        <v>0</v>
      </c>
      <c r="Q81" s="272"/>
      <c r="R81" s="9"/>
      <c r="U81" s="167"/>
    </row>
    <row r="82" spans="1:24" x14ac:dyDescent="0.25">
      <c r="A82" s="9"/>
      <c r="B82" s="2" t="s">
        <v>220</v>
      </c>
      <c r="C82" s="254" t="s">
        <v>221</v>
      </c>
      <c r="D82" s="254"/>
      <c r="E82" s="254"/>
      <c r="F82" s="254"/>
      <c r="G82" s="254"/>
      <c r="H82" s="8" t="s">
        <v>200</v>
      </c>
      <c r="I82" s="6">
        <v>0</v>
      </c>
      <c r="J82" s="325">
        <f t="shared" si="0"/>
        <v>0</v>
      </c>
      <c r="K82" s="325"/>
      <c r="L82" s="273">
        <v>0</v>
      </c>
      <c r="M82" s="273"/>
      <c r="N82" s="273">
        <v>0</v>
      </c>
      <c r="O82" s="273"/>
      <c r="P82" s="273">
        <v>0</v>
      </c>
      <c r="Q82" s="273"/>
      <c r="R82" s="9"/>
    </row>
    <row r="83" spans="1:24" x14ac:dyDescent="0.25">
      <c r="A83" s="9"/>
      <c r="B83" s="9"/>
      <c r="C83" s="274" t="s">
        <v>222</v>
      </c>
      <c r="D83" s="274"/>
      <c r="E83" s="274"/>
      <c r="F83" s="274"/>
      <c r="G83" s="274"/>
      <c r="H83" s="274"/>
      <c r="I83" s="274"/>
      <c r="J83" s="274"/>
      <c r="K83" s="274"/>
      <c r="L83" s="278">
        <f>IF(SUM(L65:L82)=0,0,SUM(L65:M82)/(SUM($J$65:$J$82)))</f>
        <v>0</v>
      </c>
      <c r="M83" s="278"/>
      <c r="N83" s="278">
        <f>IF(SUM(N65:N82)=0,0,SUM(N65:O82)/(SUM($J$65:$J$82)))</f>
        <v>0</v>
      </c>
      <c r="O83" s="278"/>
      <c r="P83" s="278">
        <f>IF(SUM(P65:P82)=0,0,SUM(P65:Q82)/(SUM($J$65:$J$82)))</f>
        <v>0</v>
      </c>
      <c r="Q83" s="278"/>
      <c r="R83" s="9"/>
    </row>
    <row r="84" spans="1:24" x14ac:dyDescent="0.25">
      <c r="A84" s="9"/>
      <c r="B84" s="9"/>
      <c r="C84" s="281" t="s">
        <v>223</v>
      </c>
      <c r="D84" s="282"/>
      <c r="E84" s="282"/>
      <c r="F84" s="282"/>
      <c r="G84" s="282"/>
      <c r="H84" s="282"/>
      <c r="I84" s="282"/>
      <c r="J84" s="282"/>
      <c r="K84" s="282"/>
      <c r="L84" s="282"/>
      <c r="M84" s="283"/>
      <c r="N84" s="24"/>
      <c r="O84" s="24"/>
      <c r="P84" s="24"/>
      <c r="Q84" s="24"/>
      <c r="R84" s="9"/>
      <c r="U84" s="167"/>
    </row>
    <row r="85" spans="1:24" x14ac:dyDescent="0.25">
      <c r="A85" s="9"/>
      <c r="B85" s="9"/>
      <c r="C85" s="281" t="s">
        <v>224</v>
      </c>
      <c r="D85" s="282"/>
      <c r="E85" s="282"/>
      <c r="F85" s="282"/>
      <c r="G85" s="282"/>
      <c r="H85" s="282"/>
      <c r="I85" s="282"/>
      <c r="J85" s="282"/>
      <c r="K85" s="283"/>
      <c r="L85" s="318">
        <f>IF(L65+L67+L68=0,0,(L65+L67+L68)/($J$65+$J$67+$J$68))</f>
        <v>0</v>
      </c>
      <c r="M85" s="319"/>
      <c r="N85" s="318">
        <f>IF(N65+N67+N68=0,0,(N65+N67+N68)/($J$65+$J$67+$J$68))</f>
        <v>0</v>
      </c>
      <c r="O85" s="319"/>
      <c r="P85" s="318">
        <f>IF(P65+P67+P68=0,0,(P65+P67+P68)/($J$65+$J$67+$J$68))</f>
        <v>0</v>
      </c>
      <c r="Q85" s="319"/>
      <c r="R85" s="9"/>
      <c r="U85" s="168"/>
    </row>
    <row r="86" spans="1:24" x14ac:dyDescent="0.25">
      <c r="A86" s="9"/>
      <c r="B86" s="2" t="s">
        <v>225</v>
      </c>
      <c r="C86" s="260" t="s">
        <v>226</v>
      </c>
      <c r="D86" s="261"/>
      <c r="E86" s="261"/>
      <c r="F86" s="261"/>
      <c r="G86" s="261"/>
      <c r="H86" s="261"/>
      <c r="I86" s="262"/>
      <c r="J86" s="257">
        <v>0</v>
      </c>
      <c r="K86" s="257"/>
      <c r="L86" s="241">
        <f>IF($L$65+$L$67+$L$68&gt;0,($L$65+$L$67+$L$68)/($J$65+$J$67+$J$68)*(J86),IF($L$65+$L$67+$L$68=0,0))</f>
        <v>0</v>
      </c>
      <c r="M86" s="241"/>
      <c r="N86" s="241">
        <f>IF(N65+N67+N68&gt;0,(N65+N67+N68)/(J65+J67+J68)*(J86),IF(N65+N67+N68=0,0))</f>
        <v>0</v>
      </c>
      <c r="O86" s="241"/>
      <c r="P86" s="241">
        <f>IF($P$65+$P$67+$P$68&gt;0,($P$65+$P$67+$P$68)/($J$65+$J$67+$J$68)*(J86),IF($P$65+$P$67+$P$68=0,0))</f>
        <v>0</v>
      </c>
      <c r="Q86" s="241"/>
      <c r="R86" s="25"/>
      <c r="U86" s="167"/>
    </row>
    <row r="87" spans="1:24" ht="15.75" thickBot="1" x14ac:dyDescent="0.3">
      <c r="A87" s="9"/>
      <c r="B87" s="3" t="s">
        <v>227</v>
      </c>
      <c r="C87" s="266" t="s">
        <v>228</v>
      </c>
      <c r="D87" s="267"/>
      <c r="E87" s="267"/>
      <c r="F87" s="267"/>
      <c r="G87" s="267"/>
      <c r="H87" s="267"/>
      <c r="I87" s="268"/>
      <c r="J87" s="255">
        <v>0</v>
      </c>
      <c r="K87" s="255"/>
      <c r="L87" s="241">
        <f>J87*L83</f>
        <v>0</v>
      </c>
      <c r="M87" s="241"/>
      <c r="N87" s="241">
        <f>J87*N83</f>
        <v>0</v>
      </c>
      <c r="O87" s="241"/>
      <c r="P87" s="241">
        <f>J87*P83</f>
        <v>0</v>
      </c>
      <c r="Q87" s="241"/>
      <c r="R87" s="9"/>
    </row>
    <row r="88" spans="1:24" ht="15.75" thickBot="1" x14ac:dyDescent="0.3">
      <c r="A88" s="9"/>
      <c r="B88" s="11" t="s">
        <v>229</v>
      </c>
      <c r="C88" s="284" t="s">
        <v>230</v>
      </c>
      <c r="D88" s="285"/>
      <c r="E88" s="285"/>
      <c r="F88" s="285"/>
      <c r="G88" s="285"/>
      <c r="H88" s="285"/>
      <c r="I88" s="286"/>
      <c r="J88" s="269">
        <f>SUM(L88:Q88)</f>
        <v>0</v>
      </c>
      <c r="K88" s="270"/>
      <c r="L88" s="269">
        <f>SUM(L65:L82)+L86+L87</f>
        <v>0</v>
      </c>
      <c r="M88" s="270"/>
      <c r="N88" s="269">
        <f>SUM(N65:N82)+N86+N87</f>
        <v>0</v>
      </c>
      <c r="O88" s="270"/>
      <c r="P88" s="269">
        <f>SUM(P65:P82)+P86+P87</f>
        <v>0</v>
      </c>
      <c r="Q88" s="270"/>
      <c r="R88" s="9"/>
      <c r="T88" s="169"/>
    </row>
    <row r="89" spans="1:24" x14ac:dyDescent="0.25">
      <c r="A89" s="9"/>
      <c r="B89" s="208" t="s">
        <v>358</v>
      </c>
      <c r="C89" s="275" t="s">
        <v>374</v>
      </c>
      <c r="D89" s="276"/>
      <c r="E89" s="276"/>
      <c r="F89" s="276"/>
      <c r="G89" s="276"/>
      <c r="H89" s="277">
        <f>IF(AND(F15="Ja",L88&gt;0),0.1,0)</f>
        <v>0</v>
      </c>
      <c r="I89" s="277"/>
      <c r="J89" s="271">
        <f>L89+N89+P89</f>
        <v>0</v>
      </c>
      <c r="K89" s="271"/>
      <c r="L89" s="279">
        <f>L88*$H$89</f>
        <v>0</v>
      </c>
      <c r="M89" s="279"/>
      <c r="N89" s="279">
        <v>0</v>
      </c>
      <c r="O89" s="279"/>
      <c r="P89" s="279">
        <v>0</v>
      </c>
      <c r="Q89" s="279"/>
      <c r="R89" s="9"/>
      <c r="U89" s="168"/>
      <c r="V89" s="168"/>
      <c r="W89" s="168"/>
      <c r="X89" s="168"/>
    </row>
    <row r="90" spans="1:24" ht="15.75" thickBot="1" x14ac:dyDescent="0.3">
      <c r="A90" s="9"/>
      <c r="B90" s="206" t="s">
        <v>358</v>
      </c>
      <c r="C90" s="320" t="s">
        <v>371</v>
      </c>
      <c r="D90" s="321"/>
      <c r="E90" s="321"/>
      <c r="F90" s="321"/>
      <c r="G90" s="321"/>
      <c r="H90" s="321"/>
      <c r="I90" s="321"/>
      <c r="J90" s="238">
        <f>L90+N90+P90</f>
        <v>0</v>
      </c>
      <c r="K90" s="238"/>
      <c r="L90" s="255">
        <v>0</v>
      </c>
      <c r="M90" s="255"/>
      <c r="N90" s="255">
        <v>0</v>
      </c>
      <c r="O90" s="255"/>
      <c r="P90" s="255">
        <v>0</v>
      </c>
      <c r="Q90" s="255"/>
      <c r="R90" s="9"/>
    </row>
    <row r="91" spans="1:24" ht="15.75" thickBot="1" x14ac:dyDescent="0.3">
      <c r="A91" s="9"/>
      <c r="B91" s="11" t="s">
        <v>232</v>
      </c>
      <c r="C91" s="243" t="s">
        <v>233</v>
      </c>
      <c r="D91" s="244"/>
      <c r="E91" s="244"/>
      <c r="F91" s="244"/>
      <c r="G91" s="244"/>
      <c r="H91" s="244"/>
      <c r="I91" s="245"/>
      <c r="J91" s="236">
        <f>SUM(J89:J90)</f>
        <v>0</v>
      </c>
      <c r="K91" s="237"/>
      <c r="L91" s="236">
        <f>SUM(L89:L90)</f>
        <v>0</v>
      </c>
      <c r="M91" s="237"/>
      <c r="N91" s="236">
        <f>SUM(N89:N90)</f>
        <v>0</v>
      </c>
      <c r="O91" s="237"/>
      <c r="P91" s="236">
        <f>SUM(P89:P90)</f>
        <v>0</v>
      </c>
      <c r="Q91" s="237"/>
      <c r="R91" s="33"/>
    </row>
    <row r="92" spans="1:24" x14ac:dyDescent="0.25">
      <c r="A92" s="9"/>
      <c r="B92" s="207" t="s">
        <v>237</v>
      </c>
      <c r="C92" s="258" t="s">
        <v>234</v>
      </c>
      <c r="D92" s="258"/>
      <c r="E92" s="258"/>
      <c r="F92" s="258"/>
      <c r="G92" s="258"/>
      <c r="H92" s="264">
        <f>IF(J88+J91=0,0,J92/(J88+J91))</f>
        <v>0</v>
      </c>
      <c r="I92" s="265"/>
      <c r="J92" s="257">
        <v>0</v>
      </c>
      <c r="K92" s="257"/>
      <c r="L92" s="241">
        <f>(L88+L91)*$H$92</f>
        <v>0</v>
      </c>
      <c r="M92" s="241"/>
      <c r="N92" s="241">
        <f>SUM(J92*N83)</f>
        <v>0</v>
      </c>
      <c r="O92" s="241"/>
      <c r="P92" s="241">
        <f>SUM(J92*P83)</f>
        <v>0</v>
      </c>
      <c r="Q92" s="241"/>
      <c r="R92" s="33"/>
      <c r="W92" s="168"/>
    </row>
    <row r="93" spans="1:24" x14ac:dyDescent="0.25">
      <c r="A93" s="9"/>
      <c r="B93" s="207" t="s">
        <v>237</v>
      </c>
      <c r="C93" s="254" t="s">
        <v>235</v>
      </c>
      <c r="D93" s="254"/>
      <c r="E93" s="254"/>
      <c r="F93" s="254"/>
      <c r="G93" s="254"/>
      <c r="H93" s="254"/>
      <c r="I93" s="254"/>
      <c r="J93" s="255">
        <v>0</v>
      </c>
      <c r="K93" s="255"/>
      <c r="L93" s="238">
        <f>+J93*L83</f>
        <v>0</v>
      </c>
      <c r="M93" s="238"/>
      <c r="N93" s="238">
        <f>+J93*N83</f>
        <v>0</v>
      </c>
      <c r="O93" s="238"/>
      <c r="P93" s="238">
        <f>+J93*P83</f>
        <v>0</v>
      </c>
      <c r="Q93" s="238"/>
      <c r="R93" s="9"/>
    </row>
    <row r="94" spans="1:24" ht="15" customHeight="1" thickBot="1" x14ac:dyDescent="0.3">
      <c r="A94" s="9"/>
      <c r="B94" s="207" t="s">
        <v>237</v>
      </c>
      <c r="C94" s="259" t="s">
        <v>236</v>
      </c>
      <c r="D94" s="259"/>
      <c r="E94" s="259"/>
      <c r="F94" s="259"/>
      <c r="G94" s="259"/>
      <c r="H94" s="259"/>
      <c r="I94" s="259"/>
      <c r="J94" s="263">
        <v>0</v>
      </c>
      <c r="K94" s="263"/>
      <c r="L94" s="240">
        <f>+J94*L83</f>
        <v>0</v>
      </c>
      <c r="M94" s="240"/>
      <c r="N94" s="240">
        <f>+J94*N83</f>
        <v>0</v>
      </c>
      <c r="O94" s="240"/>
      <c r="P94" s="240">
        <f>+J94*P83</f>
        <v>0</v>
      </c>
      <c r="Q94" s="240"/>
      <c r="R94" s="9"/>
      <c r="V94" s="168"/>
    </row>
    <row r="95" spans="1:24" ht="15.75" thickBot="1" x14ac:dyDescent="0.3">
      <c r="A95" s="9"/>
      <c r="B95" s="11" t="s">
        <v>237</v>
      </c>
      <c r="C95" s="243" t="s">
        <v>238</v>
      </c>
      <c r="D95" s="244"/>
      <c r="E95" s="244"/>
      <c r="F95" s="244"/>
      <c r="G95" s="244"/>
      <c r="H95" s="244"/>
      <c r="I95" s="245"/>
      <c r="J95" s="236">
        <f>SUM(L95:Q95)</f>
        <v>0</v>
      </c>
      <c r="K95" s="237"/>
      <c r="L95" s="236">
        <f>SUM(L92:L94)</f>
        <v>0</v>
      </c>
      <c r="M95" s="237"/>
      <c r="N95" s="236">
        <f>SUM(N92:N94)</f>
        <v>0</v>
      </c>
      <c r="O95" s="237"/>
      <c r="P95" s="236">
        <f>SUM(P92:P94)</f>
        <v>0</v>
      </c>
      <c r="Q95" s="237"/>
      <c r="R95" s="9"/>
    </row>
    <row r="96" spans="1:24" x14ac:dyDescent="0.25">
      <c r="A96" s="9"/>
      <c r="B96" s="207" t="s">
        <v>351</v>
      </c>
      <c r="C96" s="258" t="s">
        <v>239</v>
      </c>
      <c r="D96" s="258"/>
      <c r="E96" s="258"/>
      <c r="F96" s="258"/>
      <c r="G96" s="258"/>
      <c r="H96" s="258"/>
      <c r="I96" s="258"/>
      <c r="J96" s="257">
        <v>0</v>
      </c>
      <c r="K96" s="257"/>
      <c r="L96" s="241">
        <f>+J96*L83</f>
        <v>0</v>
      </c>
      <c r="M96" s="241"/>
      <c r="N96" s="241">
        <f>+J96*N83</f>
        <v>0</v>
      </c>
      <c r="O96" s="241"/>
      <c r="P96" s="241">
        <f>+J96*P83</f>
        <v>0</v>
      </c>
      <c r="Q96" s="241"/>
      <c r="R96" s="9"/>
    </row>
    <row r="97" spans="1:22" ht="15.75" thickBot="1" x14ac:dyDescent="0.3">
      <c r="A97" s="9"/>
      <c r="B97" s="207" t="s">
        <v>351</v>
      </c>
      <c r="C97" s="259" t="s">
        <v>240</v>
      </c>
      <c r="D97" s="259"/>
      <c r="E97" s="259"/>
      <c r="F97" s="259"/>
      <c r="G97" s="259"/>
      <c r="H97" s="259"/>
      <c r="I97" s="259"/>
      <c r="J97" s="255">
        <v>0</v>
      </c>
      <c r="K97" s="255"/>
      <c r="L97" s="238">
        <f>+J97*L83</f>
        <v>0</v>
      </c>
      <c r="M97" s="238"/>
      <c r="N97" s="238">
        <f>+J97*N83</f>
        <v>0</v>
      </c>
      <c r="O97" s="238"/>
      <c r="P97" s="238">
        <f>+J97*P83</f>
        <v>0</v>
      </c>
      <c r="Q97" s="238"/>
      <c r="R97" s="9"/>
      <c r="U97" s="168"/>
    </row>
    <row r="98" spans="1:22" ht="15" customHeight="1" thickBot="1" x14ac:dyDescent="0.3">
      <c r="A98" s="9"/>
      <c r="B98" s="11" t="s">
        <v>241</v>
      </c>
      <c r="C98" s="243" t="s">
        <v>242</v>
      </c>
      <c r="D98" s="244"/>
      <c r="E98" s="244"/>
      <c r="F98" s="244"/>
      <c r="G98" s="244"/>
      <c r="H98" s="244"/>
      <c r="I98" s="245"/>
      <c r="J98" s="236">
        <f>SUM(L98:Q98)</f>
        <v>0</v>
      </c>
      <c r="K98" s="237"/>
      <c r="L98" s="236">
        <f>SUM(L96:L97)</f>
        <v>0</v>
      </c>
      <c r="M98" s="237"/>
      <c r="N98" s="236">
        <f>SUM(N96:N97)</f>
        <v>0</v>
      </c>
      <c r="O98" s="237"/>
      <c r="P98" s="236">
        <f>SUM(P96:P97)</f>
        <v>0</v>
      </c>
      <c r="Q98" s="237"/>
      <c r="R98" s="9"/>
    </row>
    <row r="99" spans="1:22" x14ac:dyDescent="0.25">
      <c r="A99" s="9"/>
      <c r="B99" s="207" t="s">
        <v>247</v>
      </c>
      <c r="C99" s="258" t="s">
        <v>243</v>
      </c>
      <c r="D99" s="258"/>
      <c r="E99" s="258"/>
      <c r="F99" s="258"/>
      <c r="G99" s="258"/>
      <c r="H99" s="258"/>
      <c r="I99" s="258"/>
      <c r="J99" s="257">
        <v>0</v>
      </c>
      <c r="K99" s="257"/>
      <c r="L99" s="241">
        <f>+J99*L83</f>
        <v>0</v>
      </c>
      <c r="M99" s="241"/>
      <c r="N99" s="241">
        <f>+J99*N83</f>
        <v>0</v>
      </c>
      <c r="O99" s="241"/>
      <c r="P99" s="241">
        <f>J99*P83</f>
        <v>0</v>
      </c>
      <c r="Q99" s="241"/>
      <c r="R99" s="9"/>
    </row>
    <row r="100" spans="1:22" x14ac:dyDescent="0.25">
      <c r="A100" s="9"/>
      <c r="B100" s="207" t="s">
        <v>247</v>
      </c>
      <c r="C100" s="254" t="s">
        <v>244</v>
      </c>
      <c r="D100" s="254"/>
      <c r="E100" s="254"/>
      <c r="F100" s="254"/>
      <c r="G100" s="254"/>
      <c r="H100" s="254"/>
      <c r="I100" s="254"/>
      <c r="J100" s="263">
        <v>0</v>
      </c>
      <c r="K100" s="263"/>
      <c r="L100" s="240">
        <f>+$J$100*L83</f>
        <v>0</v>
      </c>
      <c r="M100" s="240"/>
      <c r="N100" s="240">
        <f>J100*N83</f>
        <v>0</v>
      </c>
      <c r="O100" s="240"/>
      <c r="P100" s="240">
        <f>J100*P83</f>
        <v>0</v>
      </c>
      <c r="Q100" s="240"/>
      <c r="R100" s="9"/>
      <c r="V100" s="168"/>
    </row>
    <row r="101" spans="1:22" x14ac:dyDescent="0.25">
      <c r="A101" s="9"/>
      <c r="B101" s="207" t="s">
        <v>247</v>
      </c>
      <c r="C101" s="254" t="s">
        <v>245</v>
      </c>
      <c r="D101" s="254"/>
      <c r="E101" s="254"/>
      <c r="F101" s="254"/>
      <c r="G101" s="254"/>
      <c r="H101" s="254"/>
      <c r="I101" s="254"/>
      <c r="J101" s="263">
        <v>0</v>
      </c>
      <c r="K101" s="263"/>
      <c r="L101" s="240">
        <f>+J101*L83</f>
        <v>0</v>
      </c>
      <c r="M101" s="240"/>
      <c r="N101" s="240">
        <f>+J101*N83</f>
        <v>0</v>
      </c>
      <c r="O101" s="240"/>
      <c r="P101" s="240">
        <f>J101*P83</f>
        <v>0</v>
      </c>
      <c r="Q101" s="240"/>
      <c r="R101" s="9"/>
    </row>
    <row r="102" spans="1:22" ht="15.75" thickBot="1" x14ac:dyDescent="0.3">
      <c r="A102" s="9"/>
      <c r="B102" s="207" t="s">
        <v>247</v>
      </c>
      <c r="C102" s="259" t="s">
        <v>246</v>
      </c>
      <c r="D102" s="259"/>
      <c r="E102" s="259"/>
      <c r="F102" s="259"/>
      <c r="G102" s="259"/>
      <c r="H102" s="259"/>
      <c r="I102" s="259"/>
      <c r="J102" s="255">
        <v>0</v>
      </c>
      <c r="K102" s="255"/>
      <c r="L102" s="238">
        <f>+J102*L83</f>
        <v>0</v>
      </c>
      <c r="M102" s="238"/>
      <c r="N102" s="238">
        <f>+J102*N83</f>
        <v>0</v>
      </c>
      <c r="O102" s="238"/>
      <c r="P102" s="238">
        <f>+J102*P83</f>
        <v>0</v>
      </c>
      <c r="Q102" s="238"/>
      <c r="R102" s="9"/>
    </row>
    <row r="103" spans="1:22" ht="15.75" thickBot="1" x14ac:dyDescent="0.3">
      <c r="A103" s="9"/>
      <c r="B103" s="11" t="s">
        <v>247</v>
      </c>
      <c r="C103" s="243" t="s">
        <v>248</v>
      </c>
      <c r="D103" s="244"/>
      <c r="E103" s="244"/>
      <c r="F103" s="244"/>
      <c r="G103" s="244"/>
      <c r="H103" s="244"/>
      <c r="I103" s="245"/>
      <c r="J103" s="236">
        <f>SUM(L103:Q103)</f>
        <v>0</v>
      </c>
      <c r="K103" s="237"/>
      <c r="L103" s="236">
        <f>SUM(L99:L102)</f>
        <v>0</v>
      </c>
      <c r="M103" s="237"/>
      <c r="N103" s="236">
        <f>SUM(N99:N102)</f>
        <v>0</v>
      </c>
      <c r="O103" s="237"/>
      <c r="P103" s="236">
        <f>SUM(P99:P102)</f>
        <v>0</v>
      </c>
      <c r="Q103" s="237"/>
      <c r="R103" s="9"/>
    </row>
    <row r="104" spans="1:22" x14ac:dyDescent="0.25">
      <c r="A104" s="9"/>
      <c r="B104" s="207" t="s">
        <v>253</v>
      </c>
      <c r="C104" s="258" t="s">
        <v>249</v>
      </c>
      <c r="D104" s="258"/>
      <c r="E104" s="258"/>
      <c r="F104" s="258"/>
      <c r="G104" s="258"/>
      <c r="H104" s="258"/>
      <c r="I104" s="258"/>
      <c r="J104" s="241">
        <f>L104+N104+P104</f>
        <v>0</v>
      </c>
      <c r="K104" s="241"/>
      <c r="L104" s="241">
        <f>(L88+L91+L92)*0.25</f>
        <v>0</v>
      </c>
      <c r="M104" s="241"/>
      <c r="N104" s="241">
        <f>(N88+N91+N92)*0.25</f>
        <v>0</v>
      </c>
      <c r="O104" s="241"/>
      <c r="P104" s="241">
        <f>(P88+P91+P92)*0.25</f>
        <v>0</v>
      </c>
      <c r="Q104" s="241"/>
      <c r="R104" s="9"/>
    </row>
    <row r="105" spans="1:22" x14ac:dyDescent="0.25">
      <c r="A105" s="9"/>
      <c r="B105" s="207" t="s">
        <v>253</v>
      </c>
      <c r="C105" s="254" t="s">
        <v>250</v>
      </c>
      <c r="D105" s="254"/>
      <c r="E105" s="254"/>
      <c r="F105" s="254"/>
      <c r="G105" s="254"/>
      <c r="H105" s="254"/>
      <c r="I105" s="254"/>
      <c r="J105" s="241">
        <f>L105+N105+P105</f>
        <v>0</v>
      </c>
      <c r="K105" s="241"/>
      <c r="L105" s="240">
        <f>L93*0.25</f>
        <v>0</v>
      </c>
      <c r="M105" s="240"/>
      <c r="N105" s="240">
        <f>N93*0.25</f>
        <v>0</v>
      </c>
      <c r="O105" s="240"/>
      <c r="P105" s="240">
        <f>P93*0.25</f>
        <v>0</v>
      </c>
      <c r="Q105" s="240"/>
      <c r="R105" s="9"/>
    </row>
    <row r="106" spans="1:22" x14ac:dyDescent="0.25">
      <c r="A106" s="9"/>
      <c r="B106" s="207" t="s">
        <v>253</v>
      </c>
      <c r="C106" s="254" t="s">
        <v>251</v>
      </c>
      <c r="D106" s="254"/>
      <c r="E106" s="254"/>
      <c r="F106" s="254"/>
      <c r="G106" s="254"/>
      <c r="H106" s="254"/>
      <c r="I106" s="254"/>
      <c r="J106" s="241">
        <f>L106+N106+P106</f>
        <v>0</v>
      </c>
      <c r="K106" s="241"/>
      <c r="L106" s="240">
        <f>+L99*0.25</f>
        <v>0</v>
      </c>
      <c r="M106" s="240"/>
      <c r="N106" s="240">
        <f>+N99*0.25</f>
        <v>0</v>
      </c>
      <c r="O106" s="240"/>
      <c r="P106" s="240">
        <f>+P99*0.25</f>
        <v>0</v>
      </c>
      <c r="Q106" s="240"/>
      <c r="R106" s="9"/>
    </row>
    <row r="107" spans="1:22" ht="15.75" thickBot="1" x14ac:dyDescent="0.3">
      <c r="A107" s="9"/>
      <c r="B107" s="207" t="s">
        <v>253</v>
      </c>
      <c r="C107" s="259" t="s">
        <v>252</v>
      </c>
      <c r="D107" s="259"/>
      <c r="E107" s="259"/>
      <c r="F107" s="259"/>
      <c r="G107" s="259"/>
      <c r="H107" s="259"/>
      <c r="I107" s="259"/>
      <c r="J107" s="241">
        <f>L107+N107+P107</f>
        <v>0</v>
      </c>
      <c r="K107" s="241"/>
      <c r="L107" s="238">
        <f>0.25*L102</f>
        <v>0</v>
      </c>
      <c r="M107" s="238"/>
      <c r="N107" s="238">
        <f>0.25*N102</f>
        <v>0</v>
      </c>
      <c r="O107" s="238"/>
      <c r="P107" s="238">
        <f>0.25*P102</f>
        <v>0</v>
      </c>
      <c r="Q107" s="238"/>
      <c r="R107" s="9"/>
    </row>
    <row r="108" spans="1:22" ht="15.75" thickBot="1" x14ac:dyDescent="0.3">
      <c r="A108" s="9"/>
      <c r="B108" s="11" t="s">
        <v>253</v>
      </c>
      <c r="C108" s="243" t="s">
        <v>254</v>
      </c>
      <c r="D108" s="244"/>
      <c r="E108" s="244"/>
      <c r="F108" s="244"/>
      <c r="G108" s="244"/>
      <c r="H108" s="244"/>
      <c r="I108" s="245"/>
      <c r="J108" s="236">
        <f>SUM(L108:Q108)</f>
        <v>0</v>
      </c>
      <c r="K108" s="237"/>
      <c r="L108" s="236">
        <f>SUM(L104:L107)</f>
        <v>0</v>
      </c>
      <c r="M108" s="237"/>
      <c r="N108" s="236">
        <f>SUM(N104:N107)</f>
        <v>0</v>
      </c>
      <c r="O108" s="237"/>
      <c r="P108" s="236">
        <f>SUM(P104:P107)</f>
        <v>0</v>
      </c>
      <c r="Q108" s="237"/>
      <c r="R108" s="9"/>
      <c r="T108" s="169"/>
    </row>
    <row r="109" spans="1:22" x14ac:dyDescent="0.25">
      <c r="A109" s="9"/>
      <c r="B109" s="99"/>
      <c r="C109" s="234"/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99"/>
      <c r="R109" s="9"/>
      <c r="T109" s="169"/>
    </row>
    <row r="110" spans="1:22" x14ac:dyDescent="0.25">
      <c r="A110" s="9"/>
      <c r="B110" s="247" t="s">
        <v>352</v>
      </c>
      <c r="C110" s="247"/>
      <c r="D110" s="247"/>
      <c r="E110" s="247"/>
      <c r="F110" s="247"/>
      <c r="G110" s="247"/>
      <c r="H110" s="247"/>
      <c r="I110" s="247"/>
      <c r="J110" s="233">
        <f>L110+N110</f>
        <v>0</v>
      </c>
      <c r="K110" s="233"/>
      <c r="L110" s="233">
        <f>L88+L91+L95+L98+L103+L108</f>
        <v>0</v>
      </c>
      <c r="M110" s="233"/>
      <c r="N110" s="233">
        <f>N88+N91+N95+N98+N103+N108</f>
        <v>0</v>
      </c>
      <c r="O110" s="233"/>
      <c r="P110" s="234"/>
      <c r="Q110" s="234"/>
      <c r="R110" s="9"/>
    </row>
    <row r="111" spans="1:22" x14ac:dyDescent="0.25">
      <c r="A111" s="99"/>
      <c r="B111" s="248" t="s">
        <v>356</v>
      </c>
      <c r="C111" s="248"/>
      <c r="D111" s="248"/>
      <c r="E111" s="248"/>
      <c r="F111" s="248"/>
      <c r="G111" s="248"/>
      <c r="H111" s="248"/>
      <c r="I111" s="248"/>
      <c r="J111" s="234"/>
      <c r="K111" s="234"/>
      <c r="L111" s="234"/>
      <c r="M111" s="234"/>
      <c r="N111" s="234"/>
      <c r="O111" s="234"/>
      <c r="P111" s="239">
        <f>P88+P91+P95+P98+P103+P108</f>
        <v>0</v>
      </c>
      <c r="Q111" s="239"/>
      <c r="R111" s="99"/>
    </row>
    <row r="112" spans="1:22" ht="15.75" thickBot="1" x14ac:dyDescent="0.3">
      <c r="A112" s="9"/>
      <c r="B112" s="242" t="s">
        <v>255</v>
      </c>
      <c r="C112" s="242"/>
      <c r="D112" s="242"/>
      <c r="E112" s="242"/>
      <c r="F112" s="242"/>
      <c r="G112" s="242"/>
      <c r="H112" s="242"/>
      <c r="I112" s="242"/>
      <c r="J112" s="235">
        <f>L112+N112</f>
        <v>0</v>
      </c>
      <c r="K112" s="235"/>
      <c r="L112" s="235">
        <f>L50</f>
        <v>0</v>
      </c>
      <c r="M112" s="235"/>
      <c r="N112" s="249">
        <f>L51</f>
        <v>0</v>
      </c>
      <c r="O112" s="249"/>
      <c r="P112" s="234"/>
      <c r="Q112" s="234"/>
      <c r="R112" s="9"/>
    </row>
    <row r="113" spans="1:20" ht="15.75" thickBot="1" x14ac:dyDescent="0.3">
      <c r="A113" s="9"/>
      <c r="B113" s="246" t="s">
        <v>353</v>
      </c>
      <c r="C113" s="246"/>
      <c r="D113" s="246"/>
      <c r="E113" s="246"/>
      <c r="F113" s="246"/>
      <c r="G113" s="246"/>
      <c r="H113" s="246"/>
      <c r="I113" s="246"/>
      <c r="J113" s="250">
        <f>L113+N113</f>
        <v>0</v>
      </c>
      <c r="K113" s="250"/>
      <c r="L113" s="250">
        <f t="shared" ref="L113" si="2">L110-L112</f>
        <v>0</v>
      </c>
      <c r="M113" s="251"/>
      <c r="N113" s="252">
        <f t="shared" ref="N113" si="3">N110-N112</f>
        <v>0</v>
      </c>
      <c r="O113" s="253"/>
      <c r="P113" s="234"/>
      <c r="Q113" s="234"/>
      <c r="R113" s="9"/>
    </row>
    <row r="114" spans="1:20" x14ac:dyDescent="0.25">
      <c r="A114" s="9"/>
      <c r="B114" s="61"/>
      <c r="C114" s="214" t="s">
        <v>359</v>
      </c>
      <c r="D114" s="61"/>
      <c r="E114" s="61"/>
      <c r="F114" s="61"/>
      <c r="G114" s="61"/>
      <c r="H114" s="61"/>
      <c r="I114" s="61"/>
      <c r="J114" s="62"/>
      <c r="K114" s="62"/>
      <c r="L114" s="323" t="s">
        <v>256</v>
      </c>
      <c r="M114" s="323"/>
      <c r="N114" s="324"/>
      <c r="O114" s="324"/>
      <c r="P114" s="322">
        <v>0</v>
      </c>
      <c r="Q114" s="322"/>
      <c r="R114" s="9"/>
    </row>
    <row r="115" spans="1:20" s="216" customFormat="1" ht="15" customHeight="1" x14ac:dyDescent="0.25">
      <c r="A115" s="215"/>
      <c r="B115" s="207"/>
      <c r="C115" s="228" t="s">
        <v>273</v>
      </c>
      <c r="D115" s="228"/>
      <c r="E115" s="228"/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</row>
    <row r="117" spans="1:20" ht="7.5" customHeight="1" x14ac:dyDescent="0.25">
      <c r="T117" s="169"/>
    </row>
    <row r="120" spans="1:20" ht="7.5" customHeight="1" x14ac:dyDescent="0.25"/>
  </sheetData>
  <sheetProtection sheet="1" objects="1" scenarios="1" selectLockedCells="1"/>
  <mergeCells count="395">
    <mergeCell ref="A27:R27"/>
    <mergeCell ref="A24:R24"/>
    <mergeCell ref="P29:Q30"/>
    <mergeCell ref="B25:Q25"/>
    <mergeCell ref="B26:G26"/>
    <mergeCell ref="H26:K26"/>
    <mergeCell ref="B43:Q43"/>
    <mergeCell ref="B44:E44"/>
    <mergeCell ref="F44:G44"/>
    <mergeCell ref="H44:J44"/>
    <mergeCell ref="K44:M44"/>
    <mergeCell ref="N44:O44"/>
    <mergeCell ref="P44:Q44"/>
    <mergeCell ref="B36:Q36"/>
    <mergeCell ref="B37:E37"/>
    <mergeCell ref="F37:G37"/>
    <mergeCell ref="H37:J37"/>
    <mergeCell ref="K37:M37"/>
    <mergeCell ref="N37:O37"/>
    <mergeCell ref="P37:Q37"/>
    <mergeCell ref="E39:G39"/>
    <mergeCell ref="H39:J39"/>
    <mergeCell ref="K39:M39"/>
    <mergeCell ref="N39:Q39"/>
    <mergeCell ref="N35:Q35"/>
    <mergeCell ref="K35:M35"/>
    <mergeCell ref="H35:J35"/>
    <mergeCell ref="E35:G35"/>
    <mergeCell ref="B35:D35"/>
    <mergeCell ref="B41:Q41"/>
    <mergeCell ref="B28:Q28"/>
    <mergeCell ref="L47:Q47"/>
    <mergeCell ref="B29:E29"/>
    <mergeCell ref="G29:J29"/>
    <mergeCell ref="L29:O29"/>
    <mergeCell ref="F29:F30"/>
    <mergeCell ref="K29:K30"/>
    <mergeCell ref="A31:R31"/>
    <mergeCell ref="B42:D42"/>
    <mergeCell ref="E42:G42"/>
    <mergeCell ref="H42:J42"/>
    <mergeCell ref="K42:M42"/>
    <mergeCell ref="N42:Q42"/>
    <mergeCell ref="B32:Q32"/>
    <mergeCell ref="B34:D34"/>
    <mergeCell ref="B38:Q38"/>
    <mergeCell ref="N40:Q40"/>
    <mergeCell ref="K40:M40"/>
    <mergeCell ref="B53:K53"/>
    <mergeCell ref="B48:K48"/>
    <mergeCell ref="L48:Q48"/>
    <mergeCell ref="B47:K47"/>
    <mergeCell ref="M57:Q57"/>
    <mergeCell ref="B59:Q59"/>
    <mergeCell ref="B46:Q46"/>
    <mergeCell ref="B49:K49"/>
    <mergeCell ref="L49:Q49"/>
    <mergeCell ref="B56:L56"/>
    <mergeCell ref="L53:Q53"/>
    <mergeCell ref="B57:L57"/>
    <mergeCell ref="B50:K50"/>
    <mergeCell ref="L50:Q50"/>
    <mergeCell ref="N63:O63"/>
    <mergeCell ref="J63:K63"/>
    <mergeCell ref="C65:G65"/>
    <mergeCell ref="C15:E15"/>
    <mergeCell ref="G15:J15"/>
    <mergeCell ref="B23:D23"/>
    <mergeCell ref="E23:K23"/>
    <mergeCell ref="L23:N23"/>
    <mergeCell ref="O23:Q23"/>
    <mergeCell ref="B18:D18"/>
    <mergeCell ref="E18:K18"/>
    <mergeCell ref="L18:N18"/>
    <mergeCell ref="O18:Q18"/>
    <mergeCell ref="B19:D19"/>
    <mergeCell ref="E19:K19"/>
    <mergeCell ref="L19:N19"/>
    <mergeCell ref="O19:Q19"/>
    <mergeCell ref="B22:D22"/>
    <mergeCell ref="E22:K22"/>
    <mergeCell ref="H40:J40"/>
    <mergeCell ref="E40:G40"/>
    <mergeCell ref="B39:D39"/>
    <mergeCell ref="B40:D40"/>
    <mergeCell ref="B60:Q60"/>
    <mergeCell ref="C66:G66"/>
    <mergeCell ref="C70:G70"/>
    <mergeCell ref="L64:M64"/>
    <mergeCell ref="P67:Q67"/>
    <mergeCell ref="L51:Q51"/>
    <mergeCell ref="B61:Q61"/>
    <mergeCell ref="L66:M66"/>
    <mergeCell ref="L67:M67"/>
    <mergeCell ref="L68:M68"/>
    <mergeCell ref="C68:G68"/>
    <mergeCell ref="C67:G67"/>
    <mergeCell ref="P63:Q63"/>
    <mergeCell ref="C69:G69"/>
    <mergeCell ref="J67:K67"/>
    <mergeCell ref="L69:M69"/>
    <mergeCell ref="P66:Q66"/>
    <mergeCell ref="J68:K68"/>
    <mergeCell ref="B55:Q55"/>
    <mergeCell ref="M56:Q56"/>
    <mergeCell ref="J65:K65"/>
    <mergeCell ref="N64:O64"/>
    <mergeCell ref="P64:Q64"/>
    <mergeCell ref="P65:Q65"/>
    <mergeCell ref="L63:M63"/>
    <mergeCell ref="P68:Q68"/>
    <mergeCell ref="P69:Q69"/>
    <mergeCell ref="P70:Q70"/>
    <mergeCell ref="P71:Q71"/>
    <mergeCell ref="L77:M77"/>
    <mergeCell ref="L78:M78"/>
    <mergeCell ref="J75:K75"/>
    <mergeCell ref="J76:K76"/>
    <mergeCell ref="J77:K77"/>
    <mergeCell ref="J78:K78"/>
    <mergeCell ref="P76:Q76"/>
    <mergeCell ref="P77:Q77"/>
    <mergeCell ref="J69:K69"/>
    <mergeCell ref="P72:Q72"/>
    <mergeCell ref="P73:Q73"/>
    <mergeCell ref="P74:Q74"/>
    <mergeCell ref="L70:M70"/>
    <mergeCell ref="P90:Q90"/>
    <mergeCell ref="N81:O81"/>
    <mergeCell ref="P85:Q85"/>
    <mergeCell ref="L72:M72"/>
    <mergeCell ref="N74:O74"/>
    <mergeCell ref="C71:G71"/>
    <mergeCell ref="J71:K71"/>
    <mergeCell ref="J72:K72"/>
    <mergeCell ref="J73:K73"/>
    <mergeCell ref="J74:K74"/>
    <mergeCell ref="J79:K79"/>
    <mergeCell ref="C72:G72"/>
    <mergeCell ref="P79:Q79"/>
    <mergeCell ref="L71:M71"/>
    <mergeCell ref="C77:G77"/>
    <mergeCell ref="C82:G82"/>
    <mergeCell ref="C78:G78"/>
    <mergeCell ref="C79:G79"/>
    <mergeCell ref="L75:M75"/>
    <mergeCell ref="J80:K80"/>
    <mergeCell ref="L80:M80"/>
    <mergeCell ref="J82:K82"/>
    <mergeCell ref="C80:G80"/>
    <mergeCell ref="C81:G81"/>
    <mergeCell ref="C75:G75"/>
    <mergeCell ref="C76:G76"/>
    <mergeCell ref="C85:K85"/>
    <mergeCell ref="L85:M85"/>
    <mergeCell ref="C90:I90"/>
    <mergeCell ref="J90:K90"/>
    <mergeCell ref="L90:M90"/>
    <mergeCell ref="P114:Q114"/>
    <mergeCell ref="N65:O65"/>
    <mergeCell ref="N66:O66"/>
    <mergeCell ref="N67:O67"/>
    <mergeCell ref="N80:O80"/>
    <mergeCell ref="N82:O82"/>
    <mergeCell ref="N88:O88"/>
    <mergeCell ref="N68:O68"/>
    <mergeCell ref="N69:O69"/>
    <mergeCell ref="L114:O114"/>
    <mergeCell ref="L87:M87"/>
    <mergeCell ref="L89:M89"/>
    <mergeCell ref="L91:M91"/>
    <mergeCell ref="L82:M82"/>
    <mergeCell ref="L74:M74"/>
    <mergeCell ref="L76:M76"/>
    <mergeCell ref="L65:M65"/>
    <mergeCell ref="N83:O83"/>
    <mergeCell ref="J64:K64"/>
    <mergeCell ref="N78:O78"/>
    <mergeCell ref="J66:K66"/>
    <mergeCell ref="N70:O70"/>
    <mergeCell ref="N73:O73"/>
    <mergeCell ref="N89:O89"/>
    <mergeCell ref="N76:O76"/>
    <mergeCell ref="N77:O77"/>
    <mergeCell ref="L73:M73"/>
    <mergeCell ref="N79:O79"/>
    <mergeCell ref="N86:O86"/>
    <mergeCell ref="J70:K70"/>
    <mergeCell ref="N71:O71"/>
    <mergeCell ref="L83:M83"/>
    <mergeCell ref="N72:O72"/>
    <mergeCell ref="N85:O85"/>
    <mergeCell ref="J86:K86"/>
    <mergeCell ref="A1:R1"/>
    <mergeCell ref="B9:Q9"/>
    <mergeCell ref="B17:Q17"/>
    <mergeCell ref="B4:Q4"/>
    <mergeCell ref="A16:R16"/>
    <mergeCell ref="B8:Q8"/>
    <mergeCell ref="A3:R3"/>
    <mergeCell ref="B2:J2"/>
    <mergeCell ref="K2:Q2"/>
    <mergeCell ref="B13:Q13"/>
    <mergeCell ref="L15:M15"/>
    <mergeCell ref="J14:L14"/>
    <mergeCell ref="C14:H14"/>
    <mergeCell ref="B5:D5"/>
    <mergeCell ref="B6:D6"/>
    <mergeCell ref="H6:J6"/>
    <mergeCell ref="N6:O6"/>
    <mergeCell ref="B7:D7"/>
    <mergeCell ref="H7:J7"/>
    <mergeCell ref="N7:O7"/>
    <mergeCell ref="E5:Q5"/>
    <mergeCell ref="E6:G6"/>
    <mergeCell ref="K6:M6"/>
    <mergeCell ref="P6:Q6"/>
    <mergeCell ref="P7:Q7"/>
    <mergeCell ref="K7:M7"/>
    <mergeCell ref="E7:G7"/>
    <mergeCell ref="B52:K52"/>
    <mergeCell ref="L52:Q52"/>
    <mergeCell ref="L22:N22"/>
    <mergeCell ref="O22:Q22"/>
    <mergeCell ref="A20:R20"/>
    <mergeCell ref="B10:D10"/>
    <mergeCell ref="B12:D12"/>
    <mergeCell ref="L12:N12"/>
    <mergeCell ref="L11:N11"/>
    <mergeCell ref="E10:K10"/>
    <mergeCell ref="E11:K11"/>
    <mergeCell ref="E12:K12"/>
    <mergeCell ref="O12:Q12"/>
    <mergeCell ref="L10:N10"/>
    <mergeCell ref="O11:Q11"/>
    <mergeCell ref="O10:Q10"/>
    <mergeCell ref="B11:D11"/>
    <mergeCell ref="O15:Q15"/>
    <mergeCell ref="B21:Q21"/>
    <mergeCell ref="B51:K51"/>
    <mergeCell ref="B33:Q33"/>
    <mergeCell ref="N96:O96"/>
    <mergeCell ref="C93:I93"/>
    <mergeCell ref="L96:M96"/>
    <mergeCell ref="C88:I88"/>
    <mergeCell ref="N94:O94"/>
    <mergeCell ref="P95:Q95"/>
    <mergeCell ref="P94:Q94"/>
    <mergeCell ref="P93:Q93"/>
    <mergeCell ref="N93:O93"/>
    <mergeCell ref="P96:Q96"/>
    <mergeCell ref="J94:K94"/>
    <mergeCell ref="J88:K88"/>
    <mergeCell ref="C91:I91"/>
    <mergeCell ref="J92:K92"/>
    <mergeCell ref="C96:I96"/>
    <mergeCell ref="N91:O91"/>
    <mergeCell ref="P91:Q91"/>
    <mergeCell ref="P92:Q92"/>
    <mergeCell ref="L92:M92"/>
    <mergeCell ref="J91:K91"/>
    <mergeCell ref="C94:I94"/>
    <mergeCell ref="N92:O92"/>
    <mergeCell ref="N95:O95"/>
    <mergeCell ref="N90:O90"/>
    <mergeCell ref="P88:Q88"/>
    <mergeCell ref="J89:K89"/>
    <mergeCell ref="L86:M86"/>
    <mergeCell ref="J95:K95"/>
    <mergeCell ref="L88:M88"/>
    <mergeCell ref="P75:Q75"/>
    <mergeCell ref="P78:Q78"/>
    <mergeCell ref="P81:Q81"/>
    <mergeCell ref="P82:Q82"/>
    <mergeCell ref="P80:Q80"/>
    <mergeCell ref="C83:K83"/>
    <mergeCell ref="N75:O75"/>
    <mergeCell ref="N87:O87"/>
    <mergeCell ref="C89:G89"/>
    <mergeCell ref="H89:I89"/>
    <mergeCell ref="P83:Q83"/>
    <mergeCell ref="P86:Q86"/>
    <mergeCell ref="P87:Q87"/>
    <mergeCell ref="P89:Q89"/>
    <mergeCell ref="J81:K81"/>
    <mergeCell ref="C84:M84"/>
    <mergeCell ref="L79:M79"/>
    <mergeCell ref="L81:M81"/>
    <mergeCell ref="C86:I86"/>
    <mergeCell ref="C107:I107"/>
    <mergeCell ref="C98:I98"/>
    <mergeCell ref="P104:Q104"/>
    <mergeCell ref="C73:G73"/>
    <mergeCell ref="C74:G74"/>
    <mergeCell ref="C100:I100"/>
    <mergeCell ref="P99:Q99"/>
    <mergeCell ref="P106:Q106"/>
    <mergeCell ref="P100:Q100"/>
    <mergeCell ref="P97:Q97"/>
    <mergeCell ref="N105:O105"/>
    <mergeCell ref="P105:Q105"/>
    <mergeCell ref="C105:I105"/>
    <mergeCell ref="J104:K104"/>
    <mergeCell ref="J100:K100"/>
    <mergeCell ref="J101:K101"/>
    <mergeCell ref="P101:Q101"/>
    <mergeCell ref="N99:O99"/>
    <mergeCell ref="N98:O98"/>
    <mergeCell ref="J87:K87"/>
    <mergeCell ref="C97:I97"/>
    <mergeCell ref="H92:I92"/>
    <mergeCell ref="C87:I87"/>
    <mergeCell ref="J98:K98"/>
    <mergeCell ref="E34:G34"/>
    <mergeCell ref="H34:J34"/>
    <mergeCell ref="K34:M34"/>
    <mergeCell ref="N34:Q34"/>
    <mergeCell ref="J107:K107"/>
    <mergeCell ref="J105:K105"/>
    <mergeCell ref="J93:K93"/>
    <mergeCell ref="J99:K99"/>
    <mergeCell ref="J106:K106"/>
    <mergeCell ref="L94:M94"/>
    <mergeCell ref="L105:M105"/>
    <mergeCell ref="L93:M93"/>
    <mergeCell ref="C99:I99"/>
    <mergeCell ref="C104:I104"/>
    <mergeCell ref="C92:G92"/>
    <mergeCell ref="J103:K103"/>
    <mergeCell ref="J97:K97"/>
    <mergeCell ref="C106:I106"/>
    <mergeCell ref="C103:I103"/>
    <mergeCell ref="C102:I102"/>
    <mergeCell ref="L95:M95"/>
    <mergeCell ref="J96:K96"/>
    <mergeCell ref="C95:I95"/>
    <mergeCell ref="N97:O97"/>
    <mergeCell ref="L97:M97"/>
    <mergeCell ref="L99:M99"/>
    <mergeCell ref="P98:Q98"/>
    <mergeCell ref="L98:M98"/>
    <mergeCell ref="C101:I101"/>
    <mergeCell ref="J102:K102"/>
    <mergeCell ref="P102:Q102"/>
    <mergeCell ref="N102:O102"/>
    <mergeCell ref="N100:O100"/>
    <mergeCell ref="N101:O101"/>
    <mergeCell ref="L100:M100"/>
    <mergeCell ref="L101:M101"/>
    <mergeCell ref="J108:K108"/>
    <mergeCell ref="C108:I108"/>
    <mergeCell ref="P108:Q108"/>
    <mergeCell ref="B113:I113"/>
    <mergeCell ref="C109:D109"/>
    <mergeCell ref="E109:F109"/>
    <mergeCell ref="G109:H109"/>
    <mergeCell ref="I109:J109"/>
    <mergeCell ref="K109:L109"/>
    <mergeCell ref="M109:N109"/>
    <mergeCell ref="B110:I110"/>
    <mergeCell ref="B111:I111"/>
    <mergeCell ref="L112:M112"/>
    <mergeCell ref="N112:O112"/>
    <mergeCell ref="O109:P109"/>
    <mergeCell ref="L113:M113"/>
    <mergeCell ref="N113:O113"/>
    <mergeCell ref="P113:Q113"/>
    <mergeCell ref="J111:O111"/>
    <mergeCell ref="P112:Q112"/>
    <mergeCell ref="J110:K110"/>
    <mergeCell ref="J113:K113"/>
    <mergeCell ref="O14:Q14"/>
    <mergeCell ref="M14:N14"/>
    <mergeCell ref="C115:R115"/>
    <mergeCell ref="C64:G64"/>
    <mergeCell ref="B63:I63"/>
    <mergeCell ref="L110:M110"/>
    <mergeCell ref="N110:O110"/>
    <mergeCell ref="P110:Q110"/>
    <mergeCell ref="J112:K112"/>
    <mergeCell ref="L103:M103"/>
    <mergeCell ref="L102:M102"/>
    <mergeCell ref="L107:M107"/>
    <mergeCell ref="N107:O107"/>
    <mergeCell ref="P111:Q111"/>
    <mergeCell ref="L108:M108"/>
    <mergeCell ref="L106:M106"/>
    <mergeCell ref="N103:O103"/>
    <mergeCell ref="N106:O106"/>
    <mergeCell ref="N104:O104"/>
    <mergeCell ref="N108:O108"/>
    <mergeCell ref="L104:M104"/>
    <mergeCell ref="B112:I112"/>
    <mergeCell ref="P103:Q103"/>
    <mergeCell ref="P107:Q107"/>
  </mergeCells>
  <conditionalFormatting sqref="B14">
    <cfRule type="expression" dxfId="133" priority="34">
      <formula>$B$15="Ja"</formula>
    </cfRule>
  </conditionalFormatting>
  <conditionalFormatting sqref="B14:B15">
    <cfRule type="expression" dxfId="132" priority="16">
      <formula>$F$15="Ja"</formula>
    </cfRule>
  </conditionalFormatting>
  <conditionalFormatting sqref="B15">
    <cfRule type="expression" dxfId="131" priority="23">
      <formula>$B$14="Ja"</formula>
    </cfRule>
  </conditionalFormatting>
  <conditionalFormatting sqref="C89:Q89 L90">
    <cfRule type="expression" dxfId="130" priority="3">
      <formula>$B$14="Ja"</formula>
    </cfRule>
  </conditionalFormatting>
  <conditionalFormatting sqref="C89:Q89 L90:M90">
    <cfRule type="expression" dxfId="129" priority="2">
      <formula>$B$15="Ja"</formula>
    </cfRule>
  </conditionalFormatting>
  <conditionalFormatting sqref="F15">
    <cfRule type="expression" dxfId="128" priority="22">
      <formula>$B$14="Ja"</formula>
    </cfRule>
    <cfRule type="expression" dxfId="127" priority="32">
      <formula>$B$15="Ja"</formula>
    </cfRule>
  </conditionalFormatting>
  <conditionalFormatting sqref="H92:I92">
    <cfRule type="expression" dxfId="126" priority="8">
      <formula>$H$92&gt;15%</formula>
    </cfRule>
  </conditionalFormatting>
  <conditionalFormatting sqref="I14">
    <cfRule type="expression" dxfId="125" priority="35">
      <formula>$F$15="Ja"</formula>
    </cfRule>
    <cfRule type="expression" dxfId="124" priority="39">
      <formula>$B$15="Ja"</formula>
    </cfRule>
  </conditionalFormatting>
  <conditionalFormatting sqref="I65:I82">
    <cfRule type="expression" dxfId="123" priority="10">
      <formula>I65&gt;0</formula>
    </cfRule>
    <cfRule type="expression" dxfId="122" priority="11">
      <formula>I65+J65&gt;0</formula>
    </cfRule>
  </conditionalFormatting>
  <conditionalFormatting sqref="J86:K86">
    <cfRule type="expression" dxfId="121" priority="47">
      <formula>$J$86=0</formula>
    </cfRule>
    <cfRule type="expression" dxfId="120" priority="48">
      <formula>$J$65+$J$67+$J$68=0</formula>
    </cfRule>
  </conditionalFormatting>
  <conditionalFormatting sqref="J89:K89">
    <cfRule type="expression" dxfId="119" priority="65">
      <formula>$H$89&lt;10.01%</formula>
    </cfRule>
  </conditionalFormatting>
  <conditionalFormatting sqref="K15">
    <cfRule type="expression" dxfId="118" priority="18">
      <formula>$N$15="Ja"</formula>
    </cfRule>
    <cfRule type="expression" dxfId="117" priority="21">
      <formula>$B$14="Ja"</formula>
    </cfRule>
    <cfRule type="expression" dxfId="116" priority="31">
      <formula>$B$15="Ja"</formula>
    </cfRule>
  </conditionalFormatting>
  <conditionalFormatting sqref="L65:M82">
    <cfRule type="expression" dxfId="115" priority="7">
      <formula>IF(OR($B$14="Ja",$B$15="Ja"),1,0)</formula>
    </cfRule>
    <cfRule type="expression" dxfId="114" priority="24">
      <formula>$I$14="Nej"</formula>
    </cfRule>
    <cfRule type="expression" dxfId="113" priority="29">
      <formula>$B$15="Ja"</formula>
    </cfRule>
  </conditionalFormatting>
  <conditionalFormatting sqref="L90:M90">
    <cfRule type="expression" dxfId="112" priority="14">
      <formula>$I$14="Nej"</formula>
    </cfRule>
  </conditionalFormatting>
  <conditionalFormatting sqref="M14">
    <cfRule type="expression" dxfId="111" priority="4">
      <formula>$F$15="Ja"</formula>
    </cfRule>
    <cfRule type="expression" dxfId="110" priority="5">
      <formula>$I$14="Nej"</formula>
    </cfRule>
    <cfRule type="expression" dxfId="109" priority="6">
      <formula>$B$15="Ja"</formula>
    </cfRule>
  </conditionalFormatting>
  <conditionalFormatting sqref="N15">
    <cfRule type="expression" dxfId="108" priority="17">
      <formula>$K$15="Ja"</formula>
    </cfRule>
    <cfRule type="expression" dxfId="107" priority="20">
      <formula>$B$14="Ja"</formula>
    </cfRule>
    <cfRule type="expression" dxfId="106" priority="30">
      <formula>$B$15="Ja"</formula>
    </cfRule>
  </conditionalFormatting>
  <conditionalFormatting sqref="N89:Q89">
    <cfRule type="expression" dxfId="105" priority="1">
      <formula>$F$15="Ja"</formula>
    </cfRule>
  </conditionalFormatting>
  <dataValidations count="2">
    <dataValidation allowBlank="1" showInputMessage="1" showErrorMessage="1" prompt="Formel _x000a_IKKE _x000a_slette !!!" sqref="N85 L83 P85 N83 P83 L85" xr:uid="{00000000-0002-0000-0200-000000000000}"/>
    <dataValidation type="list" allowBlank="1" showInputMessage="1" showErrorMessage="1" sqref="K15 I14 F15 B14:B15 N15" xr:uid="{173FCC25-769B-487D-8945-2F480EF12BE7}">
      <formula1>"Ja,Nej"</formula1>
    </dataValidation>
  </dataValidations>
  <hyperlinks>
    <hyperlink ref="C115" r:id="rId1" xr:uid="{9E3C14FA-1567-4EC4-BE58-1DCCBC31762D}"/>
  </hyperlinks>
  <printOptions horizontalCentered="1"/>
  <pageMargins left="0" right="0" top="0" bottom="0" header="0" footer="0"/>
  <pageSetup paperSize="9" scale="93" fitToHeight="0" orientation="portrait" r:id="rId2"/>
  <rowBreaks count="1" manualBreakCount="1">
    <brk id="61" max="16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8" r:id="rId5" name="Group Box 24">
              <controlPr defaultSize="0" autoFill="0" autoPict="0" altText="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>
    <tabColor rgb="FFFF0000"/>
    <pageSetUpPr fitToPage="1"/>
  </sheetPr>
  <dimension ref="A1:X1048435"/>
  <sheetViews>
    <sheetView zoomScale="85" zoomScaleNormal="85" workbookViewId="0">
      <selection activeCell="H3" sqref="H3"/>
    </sheetView>
  </sheetViews>
  <sheetFormatPr defaultColWidth="9.140625" defaultRowHeight="15" x14ac:dyDescent="0.25"/>
  <cols>
    <col min="1" max="1" width="1.42578125" style="153" customWidth="1"/>
    <col min="2" max="2" width="40" style="153" customWidth="1"/>
    <col min="3" max="4" width="5.7109375" style="153" customWidth="1"/>
    <col min="5" max="5" width="85.7109375" style="153" customWidth="1"/>
    <col min="6" max="9" width="16.42578125" style="153" customWidth="1"/>
    <col min="10" max="10" width="18.5703125" style="153" customWidth="1"/>
    <col min="11" max="11" width="1.42578125" style="153" customWidth="1"/>
    <col min="12" max="12" width="7.140625" style="153" customWidth="1"/>
    <col min="13" max="13" width="16.42578125" style="153" bestFit="1" customWidth="1"/>
    <col min="14" max="16" width="7.140625" style="153" customWidth="1"/>
    <col min="17" max="17" width="1.42578125" style="153" customWidth="1"/>
    <col min="18" max="18" width="9.140625" style="153"/>
    <col min="19" max="19" width="1.42578125" style="153" customWidth="1"/>
    <col min="20" max="20" width="14.28515625" style="153" customWidth="1"/>
    <col min="21" max="21" width="9.140625" style="153"/>
    <col min="22" max="22" width="28" style="153" customWidth="1"/>
    <col min="23" max="23" width="11.7109375" style="153" bestFit="1" customWidth="1"/>
    <col min="24" max="24" width="10.7109375" style="153" bestFit="1" customWidth="1"/>
    <col min="25" max="35" width="9.140625" style="153"/>
    <col min="36" max="36" width="1.42578125" style="153" customWidth="1"/>
    <col min="37" max="16384" width="9.140625" style="153"/>
  </cols>
  <sheetData>
    <row r="1" spans="1:24" ht="15" customHeight="1" x14ac:dyDescent="0.25">
      <c r="A1" s="409" t="s">
        <v>257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</row>
    <row r="2" spans="1:24" ht="30" customHeight="1" x14ac:dyDescent="0.25">
      <c r="A2" s="18"/>
      <c r="B2" s="22" t="s">
        <v>258</v>
      </c>
      <c r="C2" s="391" t="s">
        <v>259</v>
      </c>
      <c r="D2" s="391"/>
      <c r="E2" s="22" t="s">
        <v>260</v>
      </c>
      <c r="F2" s="23" t="s">
        <v>261</v>
      </c>
      <c r="G2" s="23" t="s">
        <v>262</v>
      </c>
      <c r="H2" s="23" t="str">
        <f>IF(Ansøgning!F15="Ja","Godkendt vedligehold","Godkendt støttede arb.")</f>
        <v>Godkendt støttede arb.</v>
      </c>
      <c r="I2" s="23" t="str">
        <f>IF(Ansøgning!F15="Ja","Ansøgt vedligehold","Ansøgt støttede arb.")</f>
        <v>Ansøgt støttede arb.</v>
      </c>
      <c r="J2" s="23" t="s">
        <v>355</v>
      </c>
      <c r="K2" s="18"/>
      <c r="M2" s="180" t="s">
        <v>263</v>
      </c>
    </row>
    <row r="3" spans="1:24" x14ac:dyDescent="0.25">
      <c r="A3" s="18"/>
      <c r="B3" s="7" t="s">
        <v>183</v>
      </c>
      <c r="C3" s="7" t="s">
        <v>184</v>
      </c>
      <c r="D3" s="219">
        <v>0</v>
      </c>
      <c r="E3" s="28"/>
      <c r="F3" s="35">
        <v>0</v>
      </c>
      <c r="G3" s="34">
        <f>Ansøgning!L65</f>
        <v>0</v>
      </c>
      <c r="H3" s="26">
        <v>0</v>
      </c>
      <c r="I3" s="20">
        <f>Ansøgning!N65</f>
        <v>0</v>
      </c>
      <c r="J3" s="20">
        <f>IF((G3+I3)&gt;(F3+H3),(G3+I3)-(F3+H3),0)</f>
        <v>0</v>
      </c>
      <c r="K3" s="18"/>
      <c r="M3" s="181" t="str">
        <f>IF(H3+F3&gt;G3+I3,"OBS!","")</f>
        <v/>
      </c>
    </row>
    <row r="4" spans="1:24" x14ac:dyDescent="0.25">
      <c r="A4" s="18"/>
      <c r="B4" s="7" t="s">
        <v>186</v>
      </c>
      <c r="C4" s="7" t="s">
        <v>184</v>
      </c>
      <c r="D4" s="219">
        <v>0</v>
      </c>
      <c r="E4" s="28"/>
      <c r="F4" s="35">
        <v>0</v>
      </c>
      <c r="G4" s="34">
        <f>Ansøgning!L66</f>
        <v>0</v>
      </c>
      <c r="H4" s="26">
        <v>0</v>
      </c>
      <c r="I4" s="20">
        <f>Ansøgning!N66</f>
        <v>0</v>
      </c>
      <c r="J4" s="20">
        <f t="shared" ref="J4:J21" si="0">IF((G4+I4)&gt;(F4+H4),(G4+I4)-(F4+H4),0)</f>
        <v>0</v>
      </c>
      <c r="K4" s="18"/>
      <c r="M4" s="181" t="str">
        <f t="shared" ref="M4:M34" si="1">IF(H4+F4&gt;G4+I4,"OBS!","")</f>
        <v/>
      </c>
      <c r="V4" s="191"/>
      <c r="W4" s="191"/>
      <c r="X4" s="174"/>
    </row>
    <row r="5" spans="1:24" x14ac:dyDescent="0.25">
      <c r="A5" s="18"/>
      <c r="B5" s="7" t="s">
        <v>188</v>
      </c>
      <c r="C5" s="7" t="s">
        <v>184</v>
      </c>
      <c r="D5" s="219">
        <v>0</v>
      </c>
      <c r="E5" s="28"/>
      <c r="F5" s="35">
        <v>0</v>
      </c>
      <c r="G5" s="34">
        <f>Ansøgning!L67</f>
        <v>0</v>
      </c>
      <c r="H5" s="26">
        <v>0</v>
      </c>
      <c r="I5" s="20">
        <f>Ansøgning!N67</f>
        <v>0</v>
      </c>
      <c r="J5" s="20">
        <f t="shared" si="0"/>
        <v>0</v>
      </c>
      <c r="K5" s="18"/>
      <c r="M5" s="181" t="str">
        <f t="shared" si="1"/>
        <v/>
      </c>
      <c r="V5" s="191"/>
      <c r="W5" s="191"/>
      <c r="X5" s="174"/>
    </row>
    <row r="6" spans="1:24" x14ac:dyDescent="0.25">
      <c r="A6" s="18"/>
      <c r="B6" s="7" t="s">
        <v>190</v>
      </c>
      <c r="C6" s="7" t="s">
        <v>191</v>
      </c>
      <c r="D6" s="219">
        <v>0</v>
      </c>
      <c r="E6" s="28"/>
      <c r="F6" s="35">
        <v>0</v>
      </c>
      <c r="G6" s="34">
        <f>Ansøgning!L68</f>
        <v>0</v>
      </c>
      <c r="H6" s="26">
        <v>0</v>
      </c>
      <c r="I6" s="20">
        <f>Ansøgning!N68</f>
        <v>0</v>
      </c>
      <c r="J6" s="20">
        <f t="shared" si="0"/>
        <v>0</v>
      </c>
      <c r="K6" s="18"/>
      <c r="M6" s="181" t="str">
        <f t="shared" si="1"/>
        <v/>
      </c>
      <c r="V6" s="191"/>
      <c r="W6" s="191"/>
      <c r="X6" s="174"/>
    </row>
    <row r="7" spans="1:24" x14ac:dyDescent="0.25">
      <c r="A7" s="18"/>
      <c r="B7" s="7" t="s">
        <v>193</v>
      </c>
      <c r="C7" s="7" t="s">
        <v>191</v>
      </c>
      <c r="D7" s="219">
        <v>0</v>
      </c>
      <c r="E7" s="28"/>
      <c r="F7" s="35">
        <v>0</v>
      </c>
      <c r="G7" s="34">
        <f>Ansøgning!L69</f>
        <v>0</v>
      </c>
      <c r="H7" s="26">
        <v>0</v>
      </c>
      <c r="I7" s="20">
        <f>Ansøgning!N69</f>
        <v>0</v>
      </c>
      <c r="J7" s="20">
        <f t="shared" si="0"/>
        <v>0</v>
      </c>
      <c r="K7" s="18"/>
      <c r="M7" s="181" t="str">
        <f t="shared" si="1"/>
        <v/>
      </c>
      <c r="V7" s="191"/>
      <c r="W7" s="191"/>
      <c r="X7" s="174"/>
    </row>
    <row r="8" spans="1:24" x14ac:dyDescent="0.25">
      <c r="A8" s="18"/>
      <c r="B8" s="7" t="s">
        <v>195</v>
      </c>
      <c r="C8" s="7" t="s">
        <v>191</v>
      </c>
      <c r="D8" s="219">
        <v>0</v>
      </c>
      <c r="E8" s="28"/>
      <c r="F8" s="35">
        <v>0</v>
      </c>
      <c r="G8" s="34">
        <f>Ansøgning!L70</f>
        <v>0</v>
      </c>
      <c r="H8" s="26">
        <v>0</v>
      </c>
      <c r="I8" s="20">
        <f>Ansøgning!N70</f>
        <v>0</v>
      </c>
      <c r="J8" s="20">
        <f t="shared" si="0"/>
        <v>0</v>
      </c>
      <c r="K8" s="18"/>
      <c r="M8" s="181" t="str">
        <f t="shared" si="1"/>
        <v/>
      </c>
      <c r="V8" s="191"/>
      <c r="W8" s="191"/>
      <c r="X8" s="174"/>
    </row>
    <row r="9" spans="1:24" x14ac:dyDescent="0.25">
      <c r="A9" s="18"/>
      <c r="B9" s="7" t="s">
        <v>197</v>
      </c>
      <c r="C9" s="7" t="s">
        <v>191</v>
      </c>
      <c r="D9" s="219">
        <v>0</v>
      </c>
      <c r="E9" s="28"/>
      <c r="F9" s="35">
        <v>0</v>
      </c>
      <c r="G9" s="34">
        <f>Ansøgning!L71</f>
        <v>0</v>
      </c>
      <c r="H9" s="26">
        <v>0</v>
      </c>
      <c r="I9" s="20">
        <f>Ansøgning!N71</f>
        <v>0</v>
      </c>
      <c r="J9" s="20">
        <f t="shared" si="0"/>
        <v>0</v>
      </c>
      <c r="K9" s="18"/>
      <c r="M9" s="181" t="str">
        <f t="shared" si="1"/>
        <v/>
      </c>
      <c r="V9" s="191"/>
      <c r="W9" s="191"/>
      <c r="X9" s="174"/>
    </row>
    <row r="10" spans="1:24" x14ac:dyDescent="0.25">
      <c r="A10" s="18"/>
      <c r="B10" s="7" t="s">
        <v>199</v>
      </c>
      <c r="C10" s="7" t="s">
        <v>200</v>
      </c>
      <c r="D10" s="219">
        <v>0</v>
      </c>
      <c r="E10" s="28"/>
      <c r="F10" s="35">
        <v>0</v>
      </c>
      <c r="G10" s="34">
        <f>Ansøgning!L72</f>
        <v>0</v>
      </c>
      <c r="H10" s="26">
        <v>0</v>
      </c>
      <c r="I10" s="20">
        <f>Ansøgning!N72</f>
        <v>0</v>
      </c>
      <c r="J10" s="20">
        <f t="shared" si="0"/>
        <v>0</v>
      </c>
      <c r="K10" s="18"/>
      <c r="M10" s="181" t="str">
        <f t="shared" si="1"/>
        <v/>
      </c>
      <c r="V10" s="191"/>
      <c r="W10" s="191"/>
      <c r="X10" s="174"/>
    </row>
    <row r="11" spans="1:24" x14ac:dyDescent="0.25">
      <c r="A11" s="18"/>
      <c r="B11" s="7" t="s">
        <v>202</v>
      </c>
      <c r="C11" s="7" t="s">
        <v>191</v>
      </c>
      <c r="D11" s="220" t="s">
        <v>264</v>
      </c>
      <c r="E11" s="28"/>
      <c r="F11" s="35">
        <v>0</v>
      </c>
      <c r="G11" s="34">
        <f>Ansøgning!L73</f>
        <v>0</v>
      </c>
      <c r="H11" s="26">
        <v>0</v>
      </c>
      <c r="I11" s="20">
        <f>Ansøgning!N73</f>
        <v>0</v>
      </c>
      <c r="J11" s="20">
        <f t="shared" si="0"/>
        <v>0</v>
      </c>
      <c r="K11" s="18"/>
      <c r="M11" s="181" t="str">
        <f>IF(
H11+F11&gt;G11+I11,"OBS!",
IF(AND(ISNUMBER(J44),J44&gt;2021),
IF(IF(D11="0",TRUE,IFERROR(FIND("/",D11),FALSE)),"","WC/Bad skal angives eks. som 0/3"),
""))</f>
        <v/>
      </c>
      <c r="V11" s="191"/>
      <c r="W11" s="191"/>
      <c r="X11" s="174"/>
    </row>
    <row r="12" spans="1:24" x14ac:dyDescent="0.25">
      <c r="A12" s="18"/>
      <c r="B12" s="7" t="s">
        <v>204</v>
      </c>
      <c r="C12" s="7" t="s">
        <v>191</v>
      </c>
      <c r="D12" s="219">
        <v>0</v>
      </c>
      <c r="E12" s="28"/>
      <c r="F12" s="35">
        <v>0</v>
      </c>
      <c r="G12" s="34">
        <f>Ansøgning!L74</f>
        <v>0</v>
      </c>
      <c r="H12" s="26">
        <v>0</v>
      </c>
      <c r="I12" s="20">
        <f>Ansøgning!N74</f>
        <v>0</v>
      </c>
      <c r="J12" s="20">
        <f t="shared" si="0"/>
        <v>0</v>
      </c>
      <c r="K12" s="18"/>
      <c r="M12" s="181" t="str">
        <f t="shared" si="1"/>
        <v/>
      </c>
      <c r="V12" s="191"/>
      <c r="W12" s="191"/>
      <c r="X12" s="174"/>
    </row>
    <row r="13" spans="1:24" x14ac:dyDescent="0.25">
      <c r="A13" s="18"/>
      <c r="B13" s="7" t="s">
        <v>206</v>
      </c>
      <c r="C13" s="7" t="s">
        <v>207</v>
      </c>
      <c r="D13" s="219">
        <v>0</v>
      </c>
      <c r="E13" s="28"/>
      <c r="F13" s="35">
        <v>0</v>
      </c>
      <c r="G13" s="34">
        <f>Ansøgning!L75</f>
        <v>0</v>
      </c>
      <c r="H13" s="26">
        <v>0</v>
      </c>
      <c r="I13" s="20">
        <f>Ansøgning!N75</f>
        <v>0</v>
      </c>
      <c r="J13" s="20">
        <f t="shared" si="0"/>
        <v>0</v>
      </c>
      <c r="K13" s="18"/>
      <c r="M13" s="181" t="str">
        <f t="shared" si="1"/>
        <v/>
      </c>
    </row>
    <row r="14" spans="1:24" x14ac:dyDescent="0.25">
      <c r="A14" s="18"/>
      <c r="B14" s="7" t="s">
        <v>209</v>
      </c>
      <c r="C14" s="7" t="s">
        <v>207</v>
      </c>
      <c r="D14" s="219">
        <v>0</v>
      </c>
      <c r="E14" s="28"/>
      <c r="F14" s="35">
        <v>0</v>
      </c>
      <c r="G14" s="34">
        <f>Ansøgning!L76</f>
        <v>0</v>
      </c>
      <c r="H14" s="26">
        <v>0</v>
      </c>
      <c r="I14" s="20">
        <f>Ansøgning!N76</f>
        <v>0</v>
      </c>
      <c r="J14" s="20">
        <f t="shared" si="0"/>
        <v>0</v>
      </c>
      <c r="K14" s="18"/>
      <c r="M14" s="181" t="str">
        <f t="shared" si="1"/>
        <v/>
      </c>
    </row>
    <row r="15" spans="1:24" x14ac:dyDescent="0.25">
      <c r="A15" s="18"/>
      <c r="B15" s="7" t="s">
        <v>211</v>
      </c>
      <c r="C15" s="7" t="s">
        <v>191</v>
      </c>
      <c r="D15" s="219">
        <v>0</v>
      </c>
      <c r="E15" s="28"/>
      <c r="F15" s="35">
        <v>0</v>
      </c>
      <c r="G15" s="34">
        <f>Ansøgning!L77</f>
        <v>0</v>
      </c>
      <c r="H15" s="26">
        <v>0</v>
      </c>
      <c r="I15" s="20">
        <f>Ansøgning!N77</f>
        <v>0</v>
      </c>
      <c r="J15" s="20">
        <f t="shared" si="0"/>
        <v>0</v>
      </c>
      <c r="K15" s="18"/>
      <c r="M15" s="181" t="str">
        <f t="shared" si="1"/>
        <v/>
      </c>
    </row>
    <row r="16" spans="1:24" x14ac:dyDescent="0.25">
      <c r="A16" s="18"/>
      <c r="B16" s="7" t="s">
        <v>213</v>
      </c>
      <c r="C16" s="7" t="s">
        <v>207</v>
      </c>
      <c r="D16" s="219">
        <v>0</v>
      </c>
      <c r="E16" s="28"/>
      <c r="F16" s="35">
        <v>0</v>
      </c>
      <c r="G16" s="34">
        <f>Ansøgning!L78</f>
        <v>0</v>
      </c>
      <c r="H16" s="26">
        <v>0</v>
      </c>
      <c r="I16" s="20">
        <f>Ansøgning!N78</f>
        <v>0</v>
      </c>
      <c r="J16" s="20">
        <f t="shared" si="0"/>
        <v>0</v>
      </c>
      <c r="K16" s="18"/>
      <c r="M16" s="181" t="str">
        <f t="shared" si="1"/>
        <v/>
      </c>
      <c r="V16" s="191"/>
    </row>
    <row r="17" spans="1:22" x14ac:dyDescent="0.25">
      <c r="A17" s="18"/>
      <c r="B17" s="7" t="s">
        <v>215</v>
      </c>
      <c r="C17" s="7" t="s">
        <v>207</v>
      </c>
      <c r="D17" s="219">
        <v>0</v>
      </c>
      <c r="E17" s="28"/>
      <c r="F17" s="35">
        <v>0</v>
      </c>
      <c r="G17" s="34">
        <f>Ansøgning!L79</f>
        <v>0</v>
      </c>
      <c r="H17" s="26">
        <v>0</v>
      </c>
      <c r="I17" s="20">
        <f>Ansøgning!N79</f>
        <v>0</v>
      </c>
      <c r="J17" s="20">
        <f t="shared" si="0"/>
        <v>0</v>
      </c>
      <c r="K17" s="18"/>
      <c r="M17" s="181" t="str">
        <f t="shared" si="1"/>
        <v/>
      </c>
      <c r="V17" s="191"/>
    </row>
    <row r="18" spans="1:22" x14ac:dyDescent="0.25">
      <c r="A18" s="18"/>
      <c r="B18" s="7" t="s">
        <v>217</v>
      </c>
      <c r="C18" s="7" t="s">
        <v>207</v>
      </c>
      <c r="D18" s="219">
        <v>0</v>
      </c>
      <c r="E18" s="28"/>
      <c r="F18" s="35">
        <v>0</v>
      </c>
      <c r="G18" s="34">
        <f>Ansøgning!L80</f>
        <v>0</v>
      </c>
      <c r="H18" s="26">
        <v>0</v>
      </c>
      <c r="I18" s="20">
        <f>Ansøgning!N80</f>
        <v>0</v>
      </c>
      <c r="J18" s="20">
        <f t="shared" si="0"/>
        <v>0</v>
      </c>
      <c r="K18" s="18"/>
      <c r="M18" s="181" t="str">
        <f t="shared" si="1"/>
        <v/>
      </c>
      <c r="V18" s="191"/>
    </row>
    <row r="19" spans="1:22" x14ac:dyDescent="0.25">
      <c r="A19" s="18"/>
      <c r="B19" s="7" t="s">
        <v>219</v>
      </c>
      <c r="C19" s="7" t="s">
        <v>207</v>
      </c>
      <c r="D19" s="219">
        <v>0</v>
      </c>
      <c r="E19" s="28"/>
      <c r="F19" s="35">
        <v>0</v>
      </c>
      <c r="G19" s="34">
        <f>Ansøgning!L81</f>
        <v>0</v>
      </c>
      <c r="H19" s="26">
        <v>0</v>
      </c>
      <c r="I19" s="20">
        <f>Ansøgning!N81</f>
        <v>0</v>
      </c>
      <c r="J19" s="20">
        <f t="shared" si="0"/>
        <v>0</v>
      </c>
      <c r="K19" s="18"/>
      <c r="M19" s="181" t="str">
        <f t="shared" si="1"/>
        <v/>
      </c>
    </row>
    <row r="20" spans="1:22" x14ac:dyDescent="0.25">
      <c r="A20" s="18"/>
      <c r="B20" s="7" t="s">
        <v>221</v>
      </c>
      <c r="C20" s="7" t="s">
        <v>200</v>
      </c>
      <c r="D20" s="219">
        <v>0</v>
      </c>
      <c r="E20" s="28"/>
      <c r="F20" s="35">
        <v>0</v>
      </c>
      <c r="G20" s="39">
        <f>Ansøgning!L82</f>
        <v>0</v>
      </c>
      <c r="H20" s="26">
        <v>0</v>
      </c>
      <c r="I20" s="40">
        <f>Ansøgning!N82</f>
        <v>0</v>
      </c>
      <c r="J20" s="40">
        <f t="shared" si="0"/>
        <v>0</v>
      </c>
      <c r="K20" s="18"/>
      <c r="M20" s="181" t="str">
        <f t="shared" si="1"/>
        <v/>
      </c>
    </row>
    <row r="21" spans="1:22" x14ac:dyDescent="0.25">
      <c r="A21" s="18"/>
      <c r="B21" s="260" t="s">
        <v>265</v>
      </c>
      <c r="C21" s="261"/>
      <c r="D21" s="262"/>
      <c r="E21" s="36"/>
      <c r="F21" s="35">
        <v>0</v>
      </c>
      <c r="G21" s="44">
        <f>Ansøgning!L90</f>
        <v>0</v>
      </c>
      <c r="H21" s="26">
        <v>0</v>
      </c>
      <c r="I21" s="43">
        <f>Ansøgning!N90</f>
        <v>0</v>
      </c>
      <c r="J21" s="20">
        <f t="shared" si="0"/>
        <v>0</v>
      </c>
      <c r="K21" s="19"/>
      <c r="L21" s="175"/>
      <c r="M21" s="181" t="str">
        <f t="shared" si="1"/>
        <v/>
      </c>
    </row>
    <row r="22" spans="1:22" ht="30" x14ac:dyDescent="0.25">
      <c r="A22" s="18"/>
      <c r="B22" s="392" t="s">
        <v>266</v>
      </c>
      <c r="C22" s="393"/>
      <c r="D22" s="393"/>
      <c r="E22" s="22" t="s">
        <v>260</v>
      </c>
      <c r="F22" s="130"/>
      <c r="G22" s="130"/>
      <c r="H22" s="41" t="s">
        <v>267</v>
      </c>
      <c r="I22" s="41" t="s">
        <v>268</v>
      </c>
      <c r="J22" s="42" t="s">
        <v>355</v>
      </c>
      <c r="K22" s="18"/>
      <c r="M22" s="181"/>
    </row>
    <row r="23" spans="1:22" x14ac:dyDescent="0.25">
      <c r="A23" s="18"/>
      <c r="B23" s="254" t="s">
        <v>226</v>
      </c>
      <c r="C23" s="254"/>
      <c r="D23" s="21"/>
      <c r="E23" s="28"/>
      <c r="F23" s="130"/>
      <c r="G23" s="130"/>
      <c r="H23" s="35">
        <v>0</v>
      </c>
      <c r="I23" s="20">
        <f>Ansøgning!J86</f>
        <v>0</v>
      </c>
      <c r="J23" s="20">
        <f t="shared" ref="J23:J24" si="2">IF(H23-I23&gt;0,0,I23-H23)</f>
        <v>0</v>
      </c>
      <c r="K23" s="19"/>
      <c r="L23" s="175"/>
      <c r="M23" s="181" t="str">
        <f t="shared" si="1"/>
        <v/>
      </c>
    </row>
    <row r="24" spans="1:22" x14ac:dyDescent="0.25">
      <c r="A24" s="18"/>
      <c r="B24" s="254" t="s">
        <v>228</v>
      </c>
      <c r="C24" s="254"/>
      <c r="D24" s="21"/>
      <c r="E24" s="28"/>
      <c r="F24" s="130"/>
      <c r="G24" s="130"/>
      <c r="H24" s="35">
        <v>0</v>
      </c>
      <c r="I24" s="20">
        <f>Ansøgning!J87</f>
        <v>0</v>
      </c>
      <c r="J24" s="20">
        <f t="shared" si="2"/>
        <v>0</v>
      </c>
      <c r="K24" s="19"/>
      <c r="L24" s="175"/>
      <c r="M24" s="181" t="str">
        <f t="shared" si="1"/>
        <v/>
      </c>
    </row>
    <row r="25" spans="1:22" x14ac:dyDescent="0.25">
      <c r="A25" s="18"/>
      <c r="B25" s="7" t="str">
        <f>Ansøgning!C89</f>
        <v>Uforudsete udgifter (forbedr.)</v>
      </c>
      <c r="C25" s="38">
        <f>Ansøgning!H89</f>
        <v>0</v>
      </c>
      <c r="D25" s="21"/>
      <c r="E25" s="131" t="str">
        <f>IF(Ansøgning!F15="Ja","Der kan maksimalt afsættes 10% af Punkt A til uforudsete udgifter (forbedring).","Udgifter til uforudsete udgifter er ikke støtteberettigede.")</f>
        <v>Udgifter til uforudsete udgifter er ikke støtteberettigede.</v>
      </c>
      <c r="F25" s="130"/>
      <c r="G25" s="130"/>
      <c r="H25" s="44">
        <f>IF(Ansøgning!F15="Ja",Tilsagn!K27*Tilsagn!H28,0)</f>
        <v>0</v>
      </c>
      <c r="I25" s="20">
        <f>Ansøgning!J89</f>
        <v>0</v>
      </c>
      <c r="J25" s="20">
        <f>IF(H25-I25&gt;0,0,I25-H25)</f>
        <v>0</v>
      </c>
      <c r="K25" s="19"/>
      <c r="L25" s="175"/>
      <c r="M25" s="181" t="str">
        <f>IF(H25+F25&gt;G25+I25,"OBS!","")</f>
        <v/>
      </c>
    </row>
    <row r="26" spans="1:22" ht="15" customHeight="1" x14ac:dyDescent="0.25">
      <c r="A26" s="18"/>
      <c r="B26" s="7" t="s">
        <v>234</v>
      </c>
      <c r="C26" s="38">
        <v>0.15</v>
      </c>
      <c r="D26" s="21"/>
      <c r="E26" s="4" t="str">
        <f>IF(Ansøgning!H92&gt;15%,"Der kan maksimalt godkendes 15% som støtteberettiget udgift.","Det ansøgte beløb " &amp;TEXT(ROUND(I26,2),"#.##0,00")&amp; " kr. kan godkendes")</f>
        <v>Det ansøgte beløb 0,00 kr. kan godkendes</v>
      </c>
      <c r="F26" s="130"/>
      <c r="G26" s="130"/>
      <c r="H26" s="44">
        <f>IF(I26=0,0,IF(I26/(Tilsagn!J27+Tilsagn!J30)&gt;15%,(Tilsagn!J27+Tilsagn!J30)*15%,Ændringer!I26))</f>
        <v>0</v>
      </c>
      <c r="I26" s="20">
        <f>Ansøgning!J92</f>
        <v>0</v>
      </c>
      <c r="J26" s="20">
        <f t="shared" ref="J26:J34" si="3">IF(H26-I26&gt;0,0,I26-H26)</f>
        <v>0</v>
      </c>
      <c r="K26" s="19"/>
      <c r="M26" s="181" t="str">
        <f>IF(H26+F26&gt;G26+I26,"OBS!","")</f>
        <v/>
      </c>
    </row>
    <row r="27" spans="1:22" x14ac:dyDescent="0.25">
      <c r="A27" s="18"/>
      <c r="B27" s="254" t="s">
        <v>235</v>
      </c>
      <c r="C27" s="254"/>
      <c r="D27" s="21"/>
      <c r="E27" s="37"/>
      <c r="F27" s="130"/>
      <c r="G27" s="130"/>
      <c r="H27" s="35">
        <v>0</v>
      </c>
      <c r="I27" s="20">
        <f>Ansøgning!J93</f>
        <v>0</v>
      </c>
      <c r="J27" s="20">
        <f t="shared" si="3"/>
        <v>0</v>
      </c>
      <c r="K27" s="19"/>
      <c r="M27" s="181" t="str">
        <f t="shared" si="1"/>
        <v/>
      </c>
    </row>
    <row r="28" spans="1:22" x14ac:dyDescent="0.25">
      <c r="A28" s="18"/>
      <c r="B28" s="254" t="s">
        <v>236</v>
      </c>
      <c r="C28" s="254"/>
      <c r="D28" s="21"/>
      <c r="E28" s="37"/>
      <c r="F28" s="130"/>
      <c r="G28" s="130"/>
      <c r="H28" s="35">
        <v>0</v>
      </c>
      <c r="I28" s="20">
        <f>Ansøgning!J94</f>
        <v>0</v>
      </c>
      <c r="J28" s="20">
        <f t="shared" si="3"/>
        <v>0</v>
      </c>
      <c r="K28" s="19"/>
      <c r="M28" s="181" t="str">
        <f t="shared" si="1"/>
        <v/>
      </c>
    </row>
    <row r="29" spans="1:22" x14ac:dyDescent="0.25">
      <c r="A29" s="18"/>
      <c r="B29" s="254" t="s">
        <v>239</v>
      </c>
      <c r="C29" s="254"/>
      <c r="D29" s="21"/>
      <c r="E29" s="37"/>
      <c r="F29" s="130"/>
      <c r="G29" s="130"/>
      <c r="H29" s="35">
        <v>0</v>
      </c>
      <c r="I29" s="20">
        <f>Ansøgning!J96</f>
        <v>0</v>
      </c>
      <c r="J29" s="20">
        <f t="shared" si="3"/>
        <v>0</v>
      </c>
      <c r="K29" s="19"/>
      <c r="M29" s="181" t="str">
        <f t="shared" si="1"/>
        <v/>
      </c>
    </row>
    <row r="30" spans="1:22" x14ac:dyDescent="0.25">
      <c r="A30" s="18"/>
      <c r="B30" s="254" t="s">
        <v>240</v>
      </c>
      <c r="C30" s="254"/>
      <c r="D30" s="21"/>
      <c r="E30" s="37"/>
      <c r="F30" s="130"/>
      <c r="G30" s="130"/>
      <c r="H30" s="35">
        <v>0</v>
      </c>
      <c r="I30" s="20">
        <f>Ansøgning!J97</f>
        <v>0</v>
      </c>
      <c r="J30" s="20">
        <f t="shared" si="3"/>
        <v>0</v>
      </c>
      <c r="K30" s="19"/>
      <c r="M30" s="181" t="str">
        <f t="shared" si="1"/>
        <v/>
      </c>
    </row>
    <row r="31" spans="1:22" x14ac:dyDescent="0.25">
      <c r="A31" s="18"/>
      <c r="B31" s="254" t="s">
        <v>269</v>
      </c>
      <c r="C31" s="254"/>
      <c r="D31" s="21"/>
      <c r="E31" s="28"/>
      <c r="F31" s="130"/>
      <c r="G31" s="130"/>
      <c r="H31" s="35">
        <v>0</v>
      </c>
      <c r="I31" s="20">
        <f>Ansøgning!J99</f>
        <v>0</v>
      </c>
      <c r="J31" s="20">
        <f t="shared" si="3"/>
        <v>0</v>
      </c>
      <c r="K31" s="19"/>
      <c r="M31" s="181" t="str">
        <f t="shared" si="1"/>
        <v/>
      </c>
    </row>
    <row r="32" spans="1:22" x14ac:dyDescent="0.25">
      <c r="A32" s="18"/>
      <c r="B32" s="254" t="s">
        <v>270</v>
      </c>
      <c r="C32" s="254"/>
      <c r="D32" s="21"/>
      <c r="E32" s="28"/>
      <c r="F32" s="130"/>
      <c r="G32" s="130"/>
      <c r="H32" s="35">
        <v>0</v>
      </c>
      <c r="I32" s="20">
        <f>Ansøgning!J100</f>
        <v>0</v>
      </c>
      <c r="J32" s="20">
        <f t="shared" si="3"/>
        <v>0</v>
      </c>
      <c r="K32" s="19"/>
      <c r="M32" s="181" t="str">
        <f t="shared" si="1"/>
        <v/>
      </c>
    </row>
    <row r="33" spans="1:13" x14ac:dyDescent="0.25">
      <c r="A33" s="18"/>
      <c r="B33" s="254" t="s">
        <v>245</v>
      </c>
      <c r="C33" s="254"/>
      <c r="D33" s="21"/>
      <c r="E33" s="28"/>
      <c r="F33" s="130"/>
      <c r="G33" s="130"/>
      <c r="H33" s="35">
        <v>0</v>
      </c>
      <c r="I33" s="20">
        <f>Ansøgning!J101</f>
        <v>0</v>
      </c>
      <c r="J33" s="20">
        <f t="shared" si="3"/>
        <v>0</v>
      </c>
      <c r="K33" s="19"/>
      <c r="M33" s="181" t="str">
        <f t="shared" si="1"/>
        <v/>
      </c>
    </row>
    <row r="34" spans="1:13" ht="15.75" thickBot="1" x14ac:dyDescent="0.3">
      <c r="A34" s="18"/>
      <c r="B34" s="254" t="s">
        <v>246</v>
      </c>
      <c r="C34" s="254"/>
      <c r="D34" s="21"/>
      <c r="E34" s="4" t="str">
        <f>IF(I34&gt;C48,"Der kan maksimalt godkendes "&amp;TEXT(ROUND(C48,2),"#.##0,00")&amp;" kr. som støtteberettiget udgift.","Det ansøgte beløb "&amp;TEXT(ROUND(I34+G34,2),"#.##0,00")&amp;" kr. kan godkendes")</f>
        <v>Det ansøgte beløb 0,00 kr. kan godkendes</v>
      </c>
      <c r="F34" s="130"/>
      <c r="G34" s="130"/>
      <c r="H34" s="65">
        <f>IF(I34&lt;C48,I34,C48)</f>
        <v>0</v>
      </c>
      <c r="I34" s="20">
        <f>Ansøgning!J102</f>
        <v>0</v>
      </c>
      <c r="J34" s="20">
        <f t="shared" si="3"/>
        <v>0</v>
      </c>
      <c r="K34" s="19"/>
      <c r="M34" s="181" t="str">
        <f t="shared" si="1"/>
        <v/>
      </c>
    </row>
    <row r="35" spans="1:13" ht="15.75" thickBot="1" x14ac:dyDescent="0.3">
      <c r="A35" s="18"/>
      <c r="B35" s="64"/>
      <c r="C35" s="64"/>
      <c r="D35" s="18"/>
      <c r="E35" s="64"/>
      <c r="F35" s="66" t="s">
        <v>271</v>
      </c>
      <c r="G35" s="67">
        <v>0</v>
      </c>
      <c r="H35" s="64"/>
      <c r="I35" s="64"/>
      <c r="J35" s="64"/>
      <c r="K35" s="19"/>
    </row>
    <row r="36" spans="1:13" ht="7.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9"/>
    </row>
    <row r="38" spans="1:13" ht="15.75" thickBot="1" x14ac:dyDescent="0.3">
      <c r="B38" s="192" t="s">
        <v>272</v>
      </c>
      <c r="C38" s="386" t="s">
        <v>273</v>
      </c>
      <c r="D38" s="386"/>
      <c r="E38" s="386"/>
      <c r="F38" s="386"/>
      <c r="G38" s="378" t="s">
        <v>274</v>
      </c>
      <c r="H38" s="378"/>
      <c r="I38" s="378"/>
      <c r="J38" s="378"/>
    </row>
    <row r="39" spans="1:13" ht="15.75" customHeight="1" x14ac:dyDescent="0.25">
      <c r="B39" s="422" t="s">
        <v>275</v>
      </c>
      <c r="C39" s="423"/>
      <c r="D39" s="423"/>
      <c r="E39" s="423"/>
      <c r="F39" s="59" t="s">
        <v>276</v>
      </c>
      <c r="G39" s="387" t="s">
        <v>277</v>
      </c>
      <c r="H39" s="388"/>
      <c r="I39" s="401"/>
      <c r="J39" s="402"/>
    </row>
    <row r="40" spans="1:13" x14ac:dyDescent="0.25">
      <c r="B40" s="397" t="s">
        <v>378</v>
      </c>
      <c r="C40" s="395"/>
      <c r="D40" s="395"/>
      <c r="E40" s="396"/>
      <c r="F40" s="15" t="s">
        <v>278</v>
      </c>
      <c r="G40" s="359" t="s">
        <v>279</v>
      </c>
      <c r="H40" s="379"/>
      <c r="I40" s="403"/>
      <c r="J40" s="404"/>
    </row>
    <row r="41" spans="1:13" x14ac:dyDescent="0.25">
      <c r="B41" s="15" t="s">
        <v>280</v>
      </c>
      <c r="C41" s="383">
        <f>Tilsagn!J27+Tilsagn!J30+Tilsagn!J34+Tilsagn!J37+Tilsagn!J38+Tilsagn!J39+Tilsagn!J40+Tilsagn!J43+Tilsagn!J44+Tilsagn!J45</f>
        <v>0</v>
      </c>
      <c r="D41" s="416"/>
      <c r="E41" s="416"/>
      <c r="F41" s="15" t="s">
        <v>15</v>
      </c>
      <c r="G41" s="359" t="s">
        <v>281</v>
      </c>
      <c r="H41" s="379"/>
      <c r="I41" s="403"/>
      <c r="J41" s="404"/>
    </row>
    <row r="42" spans="1:13" ht="15.75" thickBot="1" x14ac:dyDescent="0.3">
      <c r="B42" s="15" t="s">
        <v>282</v>
      </c>
      <c r="C42" s="395">
        <f>G35</f>
        <v>0</v>
      </c>
      <c r="D42" s="395"/>
      <c r="E42" s="396"/>
      <c r="F42" s="15" t="s">
        <v>283</v>
      </c>
      <c r="G42" s="389" t="s">
        <v>284</v>
      </c>
      <c r="H42" s="390"/>
      <c r="I42" s="405"/>
      <c r="J42" s="406"/>
    </row>
    <row r="43" spans="1:13" ht="15.75" thickBot="1" x14ac:dyDescent="0.3">
      <c r="B43" s="15" t="s">
        <v>285</v>
      </c>
      <c r="C43" s="382">
        <v>3000</v>
      </c>
      <c r="D43" s="382"/>
      <c r="E43" s="383"/>
      <c r="F43" s="15" t="s">
        <v>286</v>
      </c>
      <c r="G43" s="389" t="s">
        <v>284</v>
      </c>
      <c r="H43" s="390"/>
      <c r="I43" s="150"/>
      <c r="J43"/>
    </row>
    <row r="44" spans="1:13" ht="15.75" thickBot="1" x14ac:dyDescent="0.3">
      <c r="B44" s="16">
        <v>2.5000000000000001E-2</v>
      </c>
      <c r="C44" s="382">
        <f>IF(C41&gt;E50,(E50*B44),C41*B44)</f>
        <v>0</v>
      </c>
      <c r="D44" s="382"/>
      <c r="E44" s="383"/>
      <c r="F44" s="15" t="s">
        <v>287</v>
      </c>
      <c r="G44" s="389" t="s">
        <v>288</v>
      </c>
      <c r="H44" s="390"/>
      <c r="I44" s="66" t="s">
        <v>51</v>
      </c>
      <c r="J44" s="157" t="s">
        <v>289</v>
      </c>
    </row>
    <row r="45" spans="1:13" ht="15.75" thickBot="1" x14ac:dyDescent="0.3">
      <c r="B45" s="16">
        <v>0.02</v>
      </c>
      <c r="C45" s="384">
        <f>IF(E55&gt;0,E55*B45,0)</f>
        <v>0</v>
      </c>
      <c r="D45" s="384"/>
      <c r="E45" s="385"/>
      <c r="F45" s="15" t="s">
        <v>290</v>
      </c>
      <c r="G45" s="389" t="s">
        <v>291</v>
      </c>
      <c r="H45" s="390"/>
      <c r="I45" s="66" t="s">
        <v>292</v>
      </c>
      <c r="J45" s="157" t="s">
        <v>292</v>
      </c>
    </row>
    <row r="46" spans="1:13" ht="15.75" thickBot="1" x14ac:dyDescent="0.3">
      <c r="B46" s="16">
        <v>1.4999999999999999E-2</v>
      </c>
      <c r="C46" s="384">
        <f>IF(E56&gt;0,E56*B46,0)</f>
        <v>0</v>
      </c>
      <c r="D46" s="384"/>
      <c r="E46" s="385"/>
      <c r="F46" s="60" t="s">
        <v>293</v>
      </c>
      <c r="G46" s="389" t="s">
        <v>291</v>
      </c>
      <c r="H46" s="390"/>
      <c r="I46" s="407" t="str">
        <f>IFERROR(VLOOKUP(J44,Støttemodeller[],2,0),"Vælg støttemodel")</f>
        <v>Vælg støttemodel</v>
      </c>
      <c r="J46" s="408"/>
    </row>
    <row r="47" spans="1:13" x14ac:dyDescent="0.25">
      <c r="B47" s="16">
        <v>1.2999999999999999E-2</v>
      </c>
      <c r="C47" s="384">
        <f>IF(E57&gt;0,E57*B47,0)</f>
        <v>0</v>
      </c>
      <c r="D47" s="384"/>
      <c r="E47" s="385"/>
      <c r="F47" s="15" t="s">
        <v>294</v>
      </c>
      <c r="G47" s="359" t="s">
        <v>295</v>
      </c>
      <c r="H47" s="379"/>
    </row>
    <row r="48" spans="1:13" x14ac:dyDescent="0.25">
      <c r="B48" s="17" t="s">
        <v>296</v>
      </c>
      <c r="C48" s="380">
        <f>C47+C46+C45+C44+C43</f>
        <v>3000</v>
      </c>
      <c r="D48" s="380"/>
      <c r="E48" s="381"/>
      <c r="F48" s="15" t="s">
        <v>297</v>
      </c>
      <c r="G48" s="389" t="s">
        <v>284</v>
      </c>
      <c r="H48" s="390"/>
    </row>
    <row r="49" spans="2:10" ht="15.75" thickBot="1" x14ac:dyDescent="0.3">
      <c r="B49" s="15" t="s">
        <v>377</v>
      </c>
      <c r="C49" s="395">
        <v>100</v>
      </c>
      <c r="D49" s="395"/>
      <c r="E49" s="396"/>
      <c r="F49" s="63" t="s">
        <v>298</v>
      </c>
      <c r="G49" s="389" t="s">
        <v>284</v>
      </c>
      <c r="H49" s="390"/>
    </row>
    <row r="50" spans="2:10" x14ac:dyDescent="0.25">
      <c r="B50" s="16">
        <v>2.5000000000000001E-2</v>
      </c>
      <c r="C50" s="394">
        <v>3946973</v>
      </c>
      <c r="D50" s="394"/>
      <c r="E50" s="106">
        <f>C50/C49*G35</f>
        <v>0</v>
      </c>
      <c r="F50" s="398" t="s">
        <v>35</v>
      </c>
      <c r="G50" s="399"/>
      <c r="H50" s="399"/>
      <c r="I50" s="399"/>
      <c r="J50" s="400"/>
    </row>
    <row r="51" spans="2:10" x14ac:dyDescent="0.25">
      <c r="B51" s="16">
        <v>0.02</v>
      </c>
      <c r="C51" s="394">
        <v>19717704</v>
      </c>
      <c r="D51" s="394"/>
      <c r="E51" s="106">
        <f>C51/C49*G35</f>
        <v>0</v>
      </c>
      <c r="F51" s="410" t="s">
        <v>299</v>
      </c>
      <c r="G51" s="411"/>
      <c r="H51" s="412"/>
      <c r="I51" s="414" t="str">
        <f>IF(Ansøgning!M56+Ansøgning!M57&gt;0,"Ja",IF(Ansøgning!M56+Ansøgning!M57=0,"Nej"))</f>
        <v>Nej</v>
      </c>
      <c r="J51" s="415"/>
    </row>
    <row r="52" spans="2:10" x14ac:dyDescent="0.25">
      <c r="B52" s="16">
        <v>1.4999999999999999E-2</v>
      </c>
      <c r="C52" s="394">
        <v>55181350</v>
      </c>
      <c r="D52" s="394"/>
      <c r="E52" s="106">
        <f>C52/C49*G35</f>
        <v>0</v>
      </c>
      <c r="F52" s="410" t="s">
        <v>170</v>
      </c>
      <c r="G52" s="411"/>
      <c r="H52" s="412"/>
      <c r="I52" s="359">
        <v>0</v>
      </c>
      <c r="J52" s="379"/>
    </row>
    <row r="53" spans="2:10" x14ac:dyDescent="0.25">
      <c r="B53" s="16">
        <v>1.2999999999999999E-2</v>
      </c>
      <c r="C53" s="417" t="s">
        <v>300</v>
      </c>
      <c r="D53" s="417"/>
      <c r="E53" s="30">
        <f>IF(E41-E52&gt;0,E41-E52,0)</f>
        <v>0</v>
      </c>
      <c r="F53" s="410" t="s">
        <v>171</v>
      </c>
      <c r="G53" s="411"/>
      <c r="H53" s="412"/>
      <c r="I53" s="359">
        <v>0</v>
      </c>
      <c r="J53" s="379"/>
    </row>
    <row r="54" spans="2:10" ht="15" customHeight="1" thickBot="1" x14ac:dyDescent="0.3">
      <c r="B54" s="418" t="s">
        <v>301</v>
      </c>
      <c r="C54" s="419"/>
      <c r="D54" s="419"/>
      <c r="E54" s="31">
        <f>IF(C41&gt;E50,E50,C41)</f>
        <v>0</v>
      </c>
      <c r="F54" s="425" t="s">
        <v>302</v>
      </c>
      <c r="G54" s="426"/>
      <c r="H54" s="427"/>
      <c r="I54" s="430">
        <f>I52*I56+I53*I57</f>
        <v>0</v>
      </c>
      <c r="J54" s="431"/>
    </row>
    <row r="55" spans="2:10" x14ac:dyDescent="0.25">
      <c r="B55" s="418"/>
      <c r="C55" s="419"/>
      <c r="D55" s="419"/>
      <c r="E55" s="31">
        <f>IF(C41&gt;(E50+E51),E51,(C41-E50))</f>
        <v>0</v>
      </c>
      <c r="F55" s="422" t="s">
        <v>303</v>
      </c>
      <c r="G55" s="423"/>
      <c r="H55" s="423"/>
      <c r="I55" s="423"/>
      <c r="J55" s="424"/>
    </row>
    <row r="56" spans="2:10" x14ac:dyDescent="0.25">
      <c r="B56" s="418"/>
      <c r="C56" s="419"/>
      <c r="D56" s="419"/>
      <c r="E56" s="31">
        <f>IF(C41&gt;(E50+E51+E52),E52,(C41-(E50+E51)))</f>
        <v>0</v>
      </c>
      <c r="F56" s="410" t="s">
        <v>170</v>
      </c>
      <c r="G56" s="411"/>
      <c r="H56" s="412"/>
      <c r="I56" s="383">
        <v>150000</v>
      </c>
      <c r="J56" s="413"/>
    </row>
    <row r="57" spans="2:10" ht="15.75" thickBot="1" x14ac:dyDescent="0.3">
      <c r="B57" s="420"/>
      <c r="C57" s="421"/>
      <c r="D57" s="421"/>
      <c r="E57" s="32">
        <f>IF(C41-(E50+E51+E52)&gt;0,C41-(E50+E51+E52),0)</f>
        <v>0</v>
      </c>
      <c r="F57" s="425" t="s">
        <v>171</v>
      </c>
      <c r="G57" s="426"/>
      <c r="H57" s="427"/>
      <c r="I57" s="428">
        <v>60000</v>
      </c>
      <c r="J57" s="429"/>
    </row>
    <row r="1048415" spans="6:9" x14ac:dyDescent="0.25">
      <c r="F1048415" s="172"/>
      <c r="G1048415" s="172"/>
      <c r="H1048415" s="172"/>
      <c r="I1048415" s="172"/>
    </row>
    <row r="1048435" spans="2:5" x14ac:dyDescent="0.25">
      <c r="B1048435" s="172"/>
      <c r="C1048435" s="172"/>
      <c r="D1048435" s="172"/>
      <c r="E1048435" s="172"/>
    </row>
  </sheetData>
  <sheetProtection sheet="1" selectLockedCells="1"/>
  <mergeCells count="59">
    <mergeCell ref="I53:J53"/>
    <mergeCell ref="F53:H53"/>
    <mergeCell ref="F55:J55"/>
    <mergeCell ref="F57:H57"/>
    <mergeCell ref="I57:J57"/>
    <mergeCell ref="F54:H54"/>
    <mergeCell ref="I54:J54"/>
    <mergeCell ref="A1:K1"/>
    <mergeCell ref="F56:H56"/>
    <mergeCell ref="I56:J56"/>
    <mergeCell ref="I51:J51"/>
    <mergeCell ref="C41:E41"/>
    <mergeCell ref="C42:E42"/>
    <mergeCell ref="C52:D52"/>
    <mergeCell ref="C53:D53"/>
    <mergeCell ref="F51:H51"/>
    <mergeCell ref="B54:D57"/>
    <mergeCell ref="F52:H52"/>
    <mergeCell ref="I52:J52"/>
    <mergeCell ref="B34:C34"/>
    <mergeCell ref="B39:E39"/>
    <mergeCell ref="G42:H42"/>
    <mergeCell ref="C47:E47"/>
    <mergeCell ref="C50:D50"/>
    <mergeCell ref="C51:D51"/>
    <mergeCell ref="C49:E49"/>
    <mergeCell ref="B40:E40"/>
    <mergeCell ref="G43:H43"/>
    <mergeCell ref="G44:H44"/>
    <mergeCell ref="G45:H45"/>
    <mergeCell ref="G46:H46"/>
    <mergeCell ref="F50:J50"/>
    <mergeCell ref="G49:H49"/>
    <mergeCell ref="I39:J42"/>
    <mergeCell ref="I46:J46"/>
    <mergeCell ref="C2:D2"/>
    <mergeCell ref="B33:C33"/>
    <mergeCell ref="B32:C32"/>
    <mergeCell ref="B31:C31"/>
    <mergeCell ref="B30:C30"/>
    <mergeCell ref="B29:C29"/>
    <mergeCell ref="B28:C28"/>
    <mergeCell ref="B27:C27"/>
    <mergeCell ref="B22:D22"/>
    <mergeCell ref="B21:D21"/>
    <mergeCell ref="B24:C24"/>
    <mergeCell ref="B23:C23"/>
    <mergeCell ref="G38:J38"/>
    <mergeCell ref="G47:H47"/>
    <mergeCell ref="G41:H41"/>
    <mergeCell ref="C48:E48"/>
    <mergeCell ref="C44:E44"/>
    <mergeCell ref="C45:E45"/>
    <mergeCell ref="C46:E46"/>
    <mergeCell ref="G40:H40"/>
    <mergeCell ref="C43:E43"/>
    <mergeCell ref="C38:F38"/>
    <mergeCell ref="G39:H39"/>
    <mergeCell ref="G48:H48"/>
  </mergeCells>
  <conditionalFormatting sqref="E55">
    <cfRule type="expression" dxfId="102" priority="8">
      <formula>E55&lt;0</formula>
    </cfRule>
  </conditionalFormatting>
  <conditionalFormatting sqref="E56">
    <cfRule type="expression" dxfId="101" priority="7">
      <formula>E56&lt;0</formula>
    </cfRule>
  </conditionalFormatting>
  <conditionalFormatting sqref="I51">
    <cfRule type="containsText" dxfId="98" priority="14" operator="containsText" text="Ja">
      <formula>NOT(ISERROR(SEARCH("Ja",I51)))</formula>
    </cfRule>
  </conditionalFormatting>
  <conditionalFormatting sqref="I52:I54">
    <cfRule type="expression" dxfId="97" priority="6">
      <formula>$I$51="Nej"</formula>
    </cfRule>
  </conditionalFormatting>
  <conditionalFormatting sqref="M3:M34">
    <cfRule type="expression" dxfId="96" priority="1">
      <formula>F3+H3&gt;G3+I3</formula>
    </cfRule>
  </conditionalFormatting>
  <dataValidations disablePrompts="1" count="4">
    <dataValidation type="list" allowBlank="1" showInputMessage="1" showErrorMessage="1" sqref="U4:U12" xr:uid="{C667ABEE-8B0B-43FA-9585-528AC0950903}">
      <formula1>"A,B,C"</formula1>
    </dataValidation>
    <dataValidation type="list" allowBlank="1" showInputMessage="1" showErrorMessage="1" sqref="G44:H44" xr:uid="{4CDB175B-6D33-40BE-8FE9-F7EBD93C7068}">
      <formula1>INDIRECT("Lovbekendtgørelser[Tekst]")</formula1>
    </dataValidation>
    <dataValidation type="list" allowBlank="1" showInputMessage="1" showErrorMessage="1" sqref="J44" xr:uid="{2CD1AD59-B8AA-4FAC-925F-089F64770B0E}">
      <formula1>INDIRECT("Støttemodeller[Støttemodel]")</formula1>
    </dataValidation>
    <dataValidation type="list" allowBlank="1" showInputMessage="1" showErrorMessage="1" sqref="J45" xr:uid="{B515ED05-567A-47D9-9EE1-6A8704E3175E}">
      <formula1>"Ja,Nej"</formula1>
    </dataValidation>
  </dataValidations>
  <hyperlinks>
    <hyperlink ref="C38" r:id="rId1" xr:uid="{BAB43873-9880-4617-8A5F-424210DF7D0A}"/>
  </hyperlinks>
  <printOptions horizontalCentered="1"/>
  <pageMargins left="0" right="0" top="0" bottom="0" header="0" footer="0"/>
  <pageSetup paperSize="9" scale="64" fitToHeight="0" orientation="landscape" r:id="rId2"/>
  <colBreaks count="1" manualBreakCount="1">
    <brk id="11" max="46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7" r:id="rId5" name="Button 3">
              <controlPr defaultSize="0" print="0" autoFill="0" autoPict="0" macro="[0]!Print_Tilsagn">
                <anchor moveWithCells="1" sizeWithCells="1">
                  <from>
                    <xdr:col>8</xdr:col>
                    <xdr:colOff>190500</xdr:colOff>
                    <xdr:row>38</xdr:row>
                    <xdr:rowOff>123825</xdr:rowOff>
                  </from>
                  <to>
                    <xdr:col>9</xdr:col>
                    <xdr:colOff>1076325</xdr:colOff>
                    <xdr:row>41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C41E4796-1AFF-429C-8BDC-FCA934F964B4}">
            <xm:f>IF(Ansøgning!$H$92&gt;15%,1,0)</xm:f>
            <x14:dxf>
              <numFmt numFmtId="173" formatCode="&quot;Der kan maksimalt godkendes 15%&quot;"/>
            </x14:dxf>
          </x14:cfRule>
          <xm:sqref>E26</xm:sqref>
        </x14:conditionalFormatting>
        <x14:conditionalFormatting xmlns:xm="http://schemas.microsoft.com/office/excel/2006/main">
          <x14:cfRule type="expression" priority="4" stopIfTrue="1" id="{72679270-0485-4A0D-A16D-4C98F8EE4C64}">
            <xm:f>IF(Ansøgning!$H$92&gt;15%,1,0)</xm:f>
            <x14:dxf>
              <numFmt numFmtId="173" formatCode="&quot;Der kan maksimalt godkendes 15%&quot;"/>
            </x14:dxf>
          </x14:cfRule>
          <xm:sqref>E34</xm:sqref>
        </x14:conditionalFormatting>
        <x14:conditionalFormatting xmlns:xm="http://schemas.microsoft.com/office/excel/2006/main">
          <x14:cfRule type="expression" priority="2" id="{826DD9DD-44BF-40B0-BAA5-6085C1653D80}">
            <xm:f>Ansøgning!$I$14="Nej"</xm:f>
            <x14:dxf>
              <fill>
                <patternFill patternType="lightUp"/>
              </fill>
            </x14:dxf>
          </x14:cfRule>
          <x14:cfRule type="expression" priority="3" id="{DB763FD8-3B0A-45AA-9860-C0B74D6E0696}">
            <xm:f>Ansøgning!$B$15="Ja"</xm:f>
            <x14:dxf>
              <fill>
                <patternFill patternType="lightUp"/>
              </fill>
            </x14:dxf>
          </x14:cfRule>
          <xm:sqref>F3:F21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>
    <tabColor theme="3" tint="-0.249977111117893"/>
    <pageSetUpPr fitToPage="1"/>
  </sheetPr>
  <dimension ref="A1:Q1048418"/>
  <sheetViews>
    <sheetView zoomScaleNormal="100" workbookViewId="0">
      <selection activeCell="L49" sqref="L49"/>
    </sheetView>
  </sheetViews>
  <sheetFormatPr defaultColWidth="9.140625" defaultRowHeight="15" x14ac:dyDescent="0.25"/>
  <cols>
    <col min="1" max="1" width="1.42578125" style="153" customWidth="1"/>
    <col min="2" max="9" width="6" style="153" customWidth="1"/>
    <col min="10" max="13" width="16.42578125" style="153" customWidth="1"/>
    <col min="14" max="14" width="1.42578125" style="153" customWidth="1"/>
    <col min="15" max="15" width="9.140625" style="153"/>
    <col min="16" max="16" width="9.5703125" style="153" bestFit="1" customWidth="1"/>
    <col min="17" max="17" width="10.5703125" style="153" bestFit="1" customWidth="1"/>
    <col min="18" max="18" width="9.140625" style="153"/>
    <col min="19" max="19" width="17" style="153" bestFit="1" customWidth="1"/>
    <col min="20" max="16384" width="9.140625" style="153"/>
  </cols>
  <sheetData>
    <row r="1" spans="1:17" ht="15.75" thickBot="1" x14ac:dyDescent="0.3">
      <c r="A1" s="457" t="str">
        <f>"Samlede ombygningsudgifter - Tilsagn | "&amp;'Fakta ark'!C3</f>
        <v>Samlede ombygningsudgifter - Tilsagn | Vejnavn(e)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</row>
    <row r="2" spans="1:17" ht="15.75" thickBot="1" x14ac:dyDescent="0.3">
      <c r="A2" s="45"/>
      <c r="B2" s="458" t="s">
        <v>174</v>
      </c>
      <c r="C2" s="459"/>
      <c r="D2" s="459"/>
      <c r="E2" s="459"/>
      <c r="F2" s="459"/>
      <c r="G2" s="460"/>
      <c r="H2" s="458"/>
      <c r="I2" s="460"/>
      <c r="J2" s="78" t="s">
        <v>175</v>
      </c>
      <c r="K2" s="78" t="s">
        <v>176</v>
      </c>
      <c r="L2" s="78" t="s">
        <v>177</v>
      </c>
      <c r="M2" s="78" t="s">
        <v>178</v>
      </c>
      <c r="N2" s="45"/>
    </row>
    <row r="3" spans="1:17" ht="45" customHeight="1" x14ac:dyDescent="0.25">
      <c r="A3" s="45"/>
      <c r="B3" s="461" t="s">
        <v>179</v>
      </c>
      <c r="C3" s="462"/>
      <c r="D3" s="462"/>
      <c r="E3" s="462"/>
      <c r="F3" s="462"/>
      <c r="G3" s="463"/>
      <c r="H3" s="46" t="s">
        <v>180</v>
      </c>
      <c r="I3" s="46"/>
      <c r="J3" s="79" t="s">
        <v>148</v>
      </c>
      <c r="K3" s="79" t="s">
        <v>181</v>
      </c>
      <c r="L3" s="80" t="str">
        <f>IF(Ansøgning!F15="Ja","Vedligehold","Støttede arbejder")</f>
        <v>Støttede arbejder</v>
      </c>
      <c r="M3" s="80" t="s">
        <v>354</v>
      </c>
      <c r="N3" s="45"/>
    </row>
    <row r="4" spans="1:17" x14ac:dyDescent="0.25">
      <c r="A4" s="45"/>
      <c r="B4" s="48" t="s">
        <v>182</v>
      </c>
      <c r="C4" s="442" t="s">
        <v>183</v>
      </c>
      <c r="D4" s="443"/>
      <c r="E4" s="443"/>
      <c r="F4" s="443"/>
      <c r="G4" s="444"/>
      <c r="H4" s="47" t="s">
        <v>184</v>
      </c>
      <c r="I4" s="58">
        <f>Ændringer!D3</f>
        <v>0</v>
      </c>
      <c r="J4" s="77">
        <f t="shared" ref="J4:J21" si="0">+K4+L4+M4</f>
        <v>0</v>
      </c>
      <c r="K4" s="77">
        <f>Ændringer!F3</f>
        <v>0</v>
      </c>
      <c r="L4" s="77">
        <f>Ændringer!H3</f>
        <v>0</v>
      </c>
      <c r="M4" s="77">
        <f>Ansøgning!P65+Ændringer!J3</f>
        <v>0</v>
      </c>
      <c r="N4" s="45"/>
    </row>
    <row r="5" spans="1:17" x14ac:dyDescent="0.25">
      <c r="A5" s="45"/>
      <c r="B5" s="48" t="s">
        <v>185</v>
      </c>
      <c r="C5" s="442" t="s">
        <v>186</v>
      </c>
      <c r="D5" s="443"/>
      <c r="E5" s="443"/>
      <c r="F5" s="443"/>
      <c r="G5" s="444"/>
      <c r="H5" s="47" t="s">
        <v>184</v>
      </c>
      <c r="I5" s="58">
        <f>Ændringer!D4</f>
        <v>0</v>
      </c>
      <c r="J5" s="77">
        <f t="shared" si="0"/>
        <v>0</v>
      </c>
      <c r="K5" s="77">
        <f>Ændringer!F4</f>
        <v>0</v>
      </c>
      <c r="L5" s="77">
        <f>Ændringer!H4</f>
        <v>0</v>
      </c>
      <c r="M5" s="77">
        <f>Ansøgning!P66+Ændringer!J4</f>
        <v>0</v>
      </c>
      <c r="N5" s="45"/>
    </row>
    <row r="6" spans="1:17" x14ac:dyDescent="0.25">
      <c r="A6" s="45"/>
      <c r="B6" s="48" t="s">
        <v>187</v>
      </c>
      <c r="C6" s="442" t="s">
        <v>188</v>
      </c>
      <c r="D6" s="443"/>
      <c r="E6" s="443"/>
      <c r="F6" s="443"/>
      <c r="G6" s="444"/>
      <c r="H6" s="47" t="s">
        <v>184</v>
      </c>
      <c r="I6" s="58">
        <f>Ændringer!D5</f>
        <v>0</v>
      </c>
      <c r="J6" s="77">
        <f t="shared" si="0"/>
        <v>0</v>
      </c>
      <c r="K6" s="77">
        <f>Ændringer!F5</f>
        <v>0</v>
      </c>
      <c r="L6" s="77">
        <f>Ændringer!H5</f>
        <v>0</v>
      </c>
      <c r="M6" s="77">
        <f>Ansøgning!P67+Ændringer!J5</f>
        <v>0</v>
      </c>
      <c r="N6" s="45"/>
    </row>
    <row r="7" spans="1:17" x14ac:dyDescent="0.25">
      <c r="A7" s="45"/>
      <c r="B7" s="48" t="s">
        <v>189</v>
      </c>
      <c r="C7" s="442" t="s">
        <v>190</v>
      </c>
      <c r="D7" s="443"/>
      <c r="E7" s="443"/>
      <c r="F7" s="443"/>
      <c r="G7" s="444"/>
      <c r="H7" s="47" t="s">
        <v>191</v>
      </c>
      <c r="I7" s="58">
        <f>Ændringer!D6</f>
        <v>0</v>
      </c>
      <c r="J7" s="77">
        <f t="shared" si="0"/>
        <v>0</v>
      </c>
      <c r="K7" s="77">
        <f>Ændringer!F6</f>
        <v>0</v>
      </c>
      <c r="L7" s="77">
        <f>Ændringer!H6</f>
        <v>0</v>
      </c>
      <c r="M7" s="77">
        <f>Ansøgning!P68+Ændringer!J6</f>
        <v>0</v>
      </c>
      <c r="N7" s="45"/>
    </row>
    <row r="8" spans="1:17" x14ac:dyDescent="0.25">
      <c r="A8" s="45"/>
      <c r="B8" s="48" t="s">
        <v>192</v>
      </c>
      <c r="C8" s="442" t="s">
        <v>193</v>
      </c>
      <c r="D8" s="443"/>
      <c r="E8" s="443"/>
      <c r="F8" s="443"/>
      <c r="G8" s="444"/>
      <c r="H8" s="47" t="s">
        <v>191</v>
      </c>
      <c r="I8" s="58">
        <f>Ændringer!D7</f>
        <v>0</v>
      </c>
      <c r="J8" s="77">
        <f t="shared" si="0"/>
        <v>0</v>
      </c>
      <c r="K8" s="77">
        <f>Ændringer!F7</f>
        <v>0</v>
      </c>
      <c r="L8" s="77">
        <f>Ændringer!H7</f>
        <v>0</v>
      </c>
      <c r="M8" s="77">
        <f>Ansøgning!P69+Ændringer!J7</f>
        <v>0</v>
      </c>
      <c r="N8" s="45"/>
    </row>
    <row r="9" spans="1:17" x14ac:dyDescent="0.25">
      <c r="A9" s="45"/>
      <c r="B9" s="48" t="s">
        <v>194</v>
      </c>
      <c r="C9" s="442" t="s">
        <v>195</v>
      </c>
      <c r="D9" s="443"/>
      <c r="E9" s="443"/>
      <c r="F9" s="443"/>
      <c r="G9" s="444"/>
      <c r="H9" s="47" t="s">
        <v>191</v>
      </c>
      <c r="I9" s="58">
        <f>Ændringer!D8</f>
        <v>0</v>
      </c>
      <c r="J9" s="77">
        <f t="shared" si="0"/>
        <v>0</v>
      </c>
      <c r="K9" s="77">
        <f>Ændringer!F8</f>
        <v>0</v>
      </c>
      <c r="L9" s="77">
        <f>Ændringer!H8</f>
        <v>0</v>
      </c>
      <c r="M9" s="77">
        <f>Ansøgning!P70+Ændringer!J8</f>
        <v>0</v>
      </c>
      <c r="N9" s="45"/>
    </row>
    <row r="10" spans="1:17" x14ac:dyDescent="0.25">
      <c r="A10" s="45"/>
      <c r="B10" s="48" t="s">
        <v>196</v>
      </c>
      <c r="C10" s="442" t="s">
        <v>197</v>
      </c>
      <c r="D10" s="443"/>
      <c r="E10" s="443"/>
      <c r="F10" s="443"/>
      <c r="G10" s="444"/>
      <c r="H10" s="47" t="s">
        <v>191</v>
      </c>
      <c r="I10" s="58">
        <f>Ændringer!D9</f>
        <v>0</v>
      </c>
      <c r="J10" s="77">
        <f t="shared" si="0"/>
        <v>0</v>
      </c>
      <c r="K10" s="77">
        <f>Ændringer!F9</f>
        <v>0</v>
      </c>
      <c r="L10" s="77">
        <f>Ændringer!H9</f>
        <v>0</v>
      </c>
      <c r="M10" s="77">
        <f>Ansøgning!P71+Ændringer!J9</f>
        <v>0</v>
      </c>
      <c r="N10" s="45"/>
    </row>
    <row r="11" spans="1:17" x14ac:dyDescent="0.25">
      <c r="A11" s="45"/>
      <c r="B11" s="48" t="s">
        <v>198</v>
      </c>
      <c r="C11" s="442" t="s">
        <v>199</v>
      </c>
      <c r="D11" s="443"/>
      <c r="E11" s="443"/>
      <c r="F11" s="443"/>
      <c r="G11" s="444"/>
      <c r="H11" s="47" t="s">
        <v>200</v>
      </c>
      <c r="I11" s="58">
        <f>Ændringer!D10</f>
        <v>0</v>
      </c>
      <c r="J11" s="77">
        <f t="shared" si="0"/>
        <v>0</v>
      </c>
      <c r="K11" s="77">
        <f>Ændringer!F10</f>
        <v>0</v>
      </c>
      <c r="L11" s="77">
        <f>Ændringer!H10</f>
        <v>0</v>
      </c>
      <c r="M11" s="77">
        <f>Ansøgning!P72+Ændringer!J10</f>
        <v>0</v>
      </c>
      <c r="N11" s="45"/>
    </row>
    <row r="12" spans="1:17" x14ac:dyDescent="0.25">
      <c r="A12" s="45"/>
      <c r="B12" s="48" t="s">
        <v>201</v>
      </c>
      <c r="C12" s="442" t="s">
        <v>202</v>
      </c>
      <c r="D12" s="443"/>
      <c r="E12" s="443"/>
      <c r="F12" s="443"/>
      <c r="G12" s="444"/>
      <c r="H12" s="47" t="s">
        <v>191</v>
      </c>
      <c r="I12" s="58" t="str">
        <f>Ændringer!D11</f>
        <v>0/0</v>
      </c>
      <c r="J12" s="77">
        <f t="shared" si="0"/>
        <v>0</v>
      </c>
      <c r="K12" s="77">
        <f>Ændringer!F11</f>
        <v>0</v>
      </c>
      <c r="L12" s="77">
        <f>Ændringer!H11</f>
        <v>0</v>
      </c>
      <c r="M12" s="77">
        <f>Ansøgning!P73+Ændringer!J11</f>
        <v>0</v>
      </c>
      <c r="N12" s="45"/>
    </row>
    <row r="13" spans="1:17" x14ac:dyDescent="0.25">
      <c r="A13" s="45"/>
      <c r="B13" s="48" t="s">
        <v>203</v>
      </c>
      <c r="C13" s="442" t="s">
        <v>204</v>
      </c>
      <c r="D13" s="443"/>
      <c r="E13" s="443"/>
      <c r="F13" s="443"/>
      <c r="G13" s="444"/>
      <c r="H13" s="47" t="s">
        <v>191</v>
      </c>
      <c r="I13" s="58">
        <f>Ændringer!D12</f>
        <v>0</v>
      </c>
      <c r="J13" s="77">
        <f t="shared" si="0"/>
        <v>0</v>
      </c>
      <c r="K13" s="77">
        <f>Ændringer!F12</f>
        <v>0</v>
      </c>
      <c r="L13" s="77">
        <f>Ændringer!H12</f>
        <v>0</v>
      </c>
      <c r="M13" s="77">
        <f>Ansøgning!P74+Ændringer!J12</f>
        <v>0</v>
      </c>
      <c r="N13" s="45"/>
    </row>
    <row r="14" spans="1:17" x14ac:dyDescent="0.25">
      <c r="A14" s="45"/>
      <c r="B14" s="48" t="s">
        <v>205</v>
      </c>
      <c r="C14" s="442" t="s">
        <v>206</v>
      </c>
      <c r="D14" s="443"/>
      <c r="E14" s="443"/>
      <c r="F14" s="443"/>
      <c r="G14" s="444"/>
      <c r="H14" s="47" t="s">
        <v>207</v>
      </c>
      <c r="I14" s="58">
        <f>Ændringer!D13</f>
        <v>0</v>
      </c>
      <c r="J14" s="77">
        <f t="shared" si="0"/>
        <v>0</v>
      </c>
      <c r="K14" s="77">
        <f>Ændringer!F13</f>
        <v>0</v>
      </c>
      <c r="L14" s="77">
        <f>Ændringer!H13</f>
        <v>0</v>
      </c>
      <c r="M14" s="77">
        <f>Ansøgning!P75+Ændringer!J13</f>
        <v>0</v>
      </c>
      <c r="N14" s="45"/>
      <c r="Q14" s="189"/>
    </row>
    <row r="15" spans="1:17" x14ac:dyDescent="0.25">
      <c r="A15" s="45"/>
      <c r="B15" s="48" t="s">
        <v>208</v>
      </c>
      <c r="C15" s="442" t="s">
        <v>209</v>
      </c>
      <c r="D15" s="443"/>
      <c r="E15" s="443"/>
      <c r="F15" s="443"/>
      <c r="G15" s="444"/>
      <c r="H15" s="47" t="s">
        <v>207</v>
      </c>
      <c r="I15" s="58">
        <f>Ændringer!D14</f>
        <v>0</v>
      </c>
      <c r="J15" s="77">
        <f t="shared" si="0"/>
        <v>0</v>
      </c>
      <c r="K15" s="77">
        <f>Ændringer!F14</f>
        <v>0</v>
      </c>
      <c r="L15" s="77">
        <f>Ændringer!H14</f>
        <v>0</v>
      </c>
      <c r="M15" s="77">
        <f>Ansøgning!P76+Ændringer!J14</f>
        <v>0</v>
      </c>
      <c r="N15" s="45"/>
    </row>
    <row r="16" spans="1:17" x14ac:dyDescent="0.25">
      <c r="A16" s="45"/>
      <c r="B16" s="48" t="s">
        <v>210</v>
      </c>
      <c r="C16" s="442" t="s">
        <v>211</v>
      </c>
      <c r="D16" s="443"/>
      <c r="E16" s="443"/>
      <c r="F16" s="443"/>
      <c r="G16" s="444"/>
      <c r="H16" s="47" t="s">
        <v>191</v>
      </c>
      <c r="I16" s="58">
        <f>Ændringer!D15</f>
        <v>0</v>
      </c>
      <c r="J16" s="77">
        <f t="shared" si="0"/>
        <v>0</v>
      </c>
      <c r="K16" s="77">
        <f>Ændringer!F15</f>
        <v>0</v>
      </c>
      <c r="L16" s="77">
        <f>Ændringer!H15</f>
        <v>0</v>
      </c>
      <c r="M16" s="77">
        <f>Ansøgning!P77+Ændringer!J15</f>
        <v>0</v>
      </c>
      <c r="N16" s="45"/>
    </row>
    <row r="17" spans="1:17" x14ac:dyDescent="0.25">
      <c r="A17" s="45"/>
      <c r="B17" s="48" t="s">
        <v>212</v>
      </c>
      <c r="C17" s="442" t="s">
        <v>213</v>
      </c>
      <c r="D17" s="443"/>
      <c r="E17" s="443"/>
      <c r="F17" s="443"/>
      <c r="G17" s="444"/>
      <c r="H17" s="47" t="s">
        <v>207</v>
      </c>
      <c r="I17" s="58">
        <f>Ændringer!D16</f>
        <v>0</v>
      </c>
      <c r="J17" s="77">
        <f t="shared" si="0"/>
        <v>0</v>
      </c>
      <c r="K17" s="77">
        <f>Ændringer!F16</f>
        <v>0</v>
      </c>
      <c r="L17" s="77">
        <f>Ændringer!H16</f>
        <v>0</v>
      </c>
      <c r="M17" s="77">
        <f>Ansøgning!P78+Ændringer!J16</f>
        <v>0</v>
      </c>
      <c r="N17" s="45"/>
    </row>
    <row r="18" spans="1:17" x14ac:dyDescent="0.25">
      <c r="A18" s="45"/>
      <c r="B18" s="48" t="s">
        <v>214</v>
      </c>
      <c r="C18" s="442" t="s">
        <v>215</v>
      </c>
      <c r="D18" s="443"/>
      <c r="E18" s="443"/>
      <c r="F18" s="443"/>
      <c r="G18" s="444"/>
      <c r="H18" s="47" t="s">
        <v>207</v>
      </c>
      <c r="I18" s="58">
        <f>Ændringer!D17</f>
        <v>0</v>
      </c>
      <c r="J18" s="77">
        <f t="shared" si="0"/>
        <v>0</v>
      </c>
      <c r="K18" s="77">
        <f>Ændringer!F17</f>
        <v>0</v>
      </c>
      <c r="L18" s="77">
        <f>Ændringer!H17</f>
        <v>0</v>
      </c>
      <c r="M18" s="77">
        <f>Ansøgning!P79+Ændringer!J17</f>
        <v>0</v>
      </c>
      <c r="N18" s="45"/>
    </row>
    <row r="19" spans="1:17" x14ac:dyDescent="0.25">
      <c r="A19" s="45"/>
      <c r="B19" s="48" t="s">
        <v>216</v>
      </c>
      <c r="C19" s="442" t="s">
        <v>217</v>
      </c>
      <c r="D19" s="443"/>
      <c r="E19" s="443"/>
      <c r="F19" s="443"/>
      <c r="G19" s="444"/>
      <c r="H19" s="47" t="s">
        <v>207</v>
      </c>
      <c r="I19" s="58">
        <f>Ændringer!D18</f>
        <v>0</v>
      </c>
      <c r="J19" s="77">
        <f t="shared" si="0"/>
        <v>0</v>
      </c>
      <c r="K19" s="77">
        <f>Ændringer!F18</f>
        <v>0</v>
      </c>
      <c r="L19" s="77">
        <f>Ændringer!H18</f>
        <v>0</v>
      </c>
      <c r="M19" s="77">
        <f>Ansøgning!P80+Ændringer!J18</f>
        <v>0</v>
      </c>
      <c r="N19" s="45"/>
    </row>
    <row r="20" spans="1:17" x14ac:dyDescent="0.25">
      <c r="A20" s="45"/>
      <c r="B20" s="48" t="s">
        <v>218</v>
      </c>
      <c r="C20" s="442" t="s">
        <v>219</v>
      </c>
      <c r="D20" s="443"/>
      <c r="E20" s="443"/>
      <c r="F20" s="443"/>
      <c r="G20" s="444"/>
      <c r="H20" s="47" t="s">
        <v>207</v>
      </c>
      <c r="I20" s="58">
        <f>Ændringer!D19</f>
        <v>0</v>
      </c>
      <c r="J20" s="77">
        <f t="shared" si="0"/>
        <v>0</v>
      </c>
      <c r="K20" s="77">
        <f>Ændringer!F19</f>
        <v>0</v>
      </c>
      <c r="L20" s="77">
        <f>Ændringer!H19</f>
        <v>0</v>
      </c>
      <c r="M20" s="77">
        <f>Ansøgning!P81+Ændringer!J19</f>
        <v>0</v>
      </c>
      <c r="N20" s="45"/>
    </row>
    <row r="21" spans="1:17" x14ac:dyDescent="0.25">
      <c r="A21" s="45"/>
      <c r="B21" s="48" t="s">
        <v>220</v>
      </c>
      <c r="C21" s="441" t="s">
        <v>221</v>
      </c>
      <c r="D21" s="441"/>
      <c r="E21" s="441"/>
      <c r="F21" s="441"/>
      <c r="G21" s="441"/>
      <c r="H21" s="49" t="s">
        <v>200</v>
      </c>
      <c r="I21" s="58">
        <f>Ændringer!D20</f>
        <v>0</v>
      </c>
      <c r="J21" s="81">
        <f t="shared" si="0"/>
        <v>0</v>
      </c>
      <c r="K21" s="77">
        <f>Ændringer!F20</f>
        <v>0</v>
      </c>
      <c r="L21" s="77">
        <f>Ændringer!H20</f>
        <v>0</v>
      </c>
      <c r="M21" s="77">
        <f>Ansøgning!P82+Ændringer!J20</f>
        <v>0</v>
      </c>
      <c r="N21" s="45"/>
    </row>
    <row r="22" spans="1:17" x14ac:dyDescent="0.25">
      <c r="A22" s="45"/>
      <c r="B22" s="45"/>
      <c r="C22" s="451" t="s">
        <v>222</v>
      </c>
      <c r="D22" s="451"/>
      <c r="E22" s="451"/>
      <c r="F22" s="451"/>
      <c r="G22" s="451"/>
      <c r="H22" s="451"/>
      <c r="I22" s="451"/>
      <c r="J22" s="451"/>
      <c r="K22" s="83">
        <f>IF(SUM(K4:K21)=0,0,SUM(K4:K21)/SUM($J$4:$J$21))</f>
        <v>0</v>
      </c>
      <c r="L22" s="83">
        <f>IF(SUM(L4:L21)=0,0,SUM(L4:L21)/SUM($J$4:$J$21))</f>
        <v>0</v>
      </c>
      <c r="M22" s="83">
        <f>IF(SUM(M4:M21)=0,0,SUM(M4:M21)/SUM($J$4:$J$21))</f>
        <v>0</v>
      </c>
      <c r="N22" s="45"/>
    </row>
    <row r="23" spans="1:17" x14ac:dyDescent="0.25">
      <c r="A23" s="45"/>
      <c r="B23" s="45"/>
      <c r="C23" s="451" t="s">
        <v>223</v>
      </c>
      <c r="D23" s="451"/>
      <c r="E23" s="451"/>
      <c r="F23" s="451"/>
      <c r="G23" s="451"/>
      <c r="H23" s="451"/>
      <c r="I23" s="451"/>
      <c r="J23" s="451"/>
      <c r="K23" s="451"/>
      <c r="L23" s="50"/>
      <c r="M23" s="50"/>
      <c r="N23" s="51"/>
    </row>
    <row r="24" spans="1:17" x14ac:dyDescent="0.25">
      <c r="A24" s="45"/>
      <c r="B24" s="45"/>
      <c r="C24" s="455" t="s">
        <v>224</v>
      </c>
      <c r="D24" s="456"/>
      <c r="E24" s="456"/>
      <c r="F24" s="456"/>
      <c r="G24" s="456"/>
      <c r="H24" s="456"/>
      <c r="I24" s="456"/>
      <c r="J24" s="456"/>
      <c r="K24" s="85">
        <f>IF(K4+K6+K7=0,0,(K4+K6+K7)/($J$4+$J$6+$J$7))</f>
        <v>0</v>
      </c>
      <c r="L24" s="85">
        <f>IF(L4+L6+L7=0,0,(L4+L6+L7)/($J$4+$J$6+$J$7))</f>
        <v>0</v>
      </c>
      <c r="M24" s="85">
        <f>IF(M4+M6+M7=0,0,(M4+M6+M7)/($J$4+$J$6+$J$7))</f>
        <v>0</v>
      </c>
      <c r="N24" s="45"/>
    </row>
    <row r="25" spans="1:17" x14ac:dyDescent="0.25">
      <c r="A25" s="45"/>
      <c r="B25" s="48" t="s">
        <v>225</v>
      </c>
      <c r="C25" s="442" t="s">
        <v>226</v>
      </c>
      <c r="D25" s="443"/>
      <c r="E25" s="443"/>
      <c r="F25" s="443"/>
      <c r="G25" s="443"/>
      <c r="H25" s="443"/>
      <c r="I25" s="444"/>
      <c r="J25" s="82">
        <f>+K25+L25+M25</f>
        <v>0</v>
      </c>
      <c r="K25" s="82">
        <f>Ændringer!$H$23*K$24</f>
        <v>0</v>
      </c>
      <c r="L25" s="82">
        <f>Ændringer!$H$23*L$24</f>
        <v>0</v>
      </c>
      <c r="M25" s="82">
        <f>Ansøgning!J86-(K25+L25)</f>
        <v>0</v>
      </c>
      <c r="N25" s="45"/>
    </row>
    <row r="26" spans="1:17" ht="15.75" thickBot="1" x14ac:dyDescent="0.3">
      <c r="A26" s="45"/>
      <c r="B26" s="57" t="s">
        <v>227</v>
      </c>
      <c r="C26" s="452" t="s">
        <v>228</v>
      </c>
      <c r="D26" s="453"/>
      <c r="E26" s="453"/>
      <c r="F26" s="453"/>
      <c r="G26" s="453"/>
      <c r="H26" s="453"/>
      <c r="I26" s="454"/>
      <c r="J26" s="82">
        <f>+K26+L26+M26</f>
        <v>0</v>
      </c>
      <c r="K26" s="82">
        <f>Ændringer!$H$24*K$22</f>
        <v>0</v>
      </c>
      <c r="L26" s="82">
        <f>Ændringer!$H$24*L$22</f>
        <v>0</v>
      </c>
      <c r="M26" s="82">
        <f>Ansøgning!J87-(K26+L26)</f>
        <v>0</v>
      </c>
      <c r="N26" s="45"/>
      <c r="O26"/>
    </row>
    <row r="27" spans="1:17" ht="15.75" thickBot="1" x14ac:dyDescent="0.3">
      <c r="A27" s="45"/>
      <c r="B27" s="52" t="s">
        <v>229</v>
      </c>
      <c r="C27" s="445" t="s">
        <v>230</v>
      </c>
      <c r="D27" s="446"/>
      <c r="E27" s="446"/>
      <c r="F27" s="446"/>
      <c r="G27" s="446"/>
      <c r="H27" s="446"/>
      <c r="I27" s="447"/>
      <c r="J27" s="86">
        <f>SUM(K27:M27)</f>
        <v>0</v>
      </c>
      <c r="K27" s="86">
        <f>SUM(K4:K21)+K25+K26</f>
        <v>0</v>
      </c>
      <c r="L27" s="86">
        <f>SUM(L4:L21)+L25+L26</f>
        <v>0</v>
      </c>
      <c r="M27" s="86">
        <f>SUM(M4:M21)+M25+M26</f>
        <v>0</v>
      </c>
      <c r="N27" s="45"/>
    </row>
    <row r="28" spans="1:17" x14ac:dyDescent="0.25">
      <c r="A28" s="45"/>
      <c r="B28" s="53"/>
      <c r="C28" s="448" t="s">
        <v>375</v>
      </c>
      <c r="D28" s="449"/>
      <c r="E28" s="449"/>
      <c r="F28" s="449"/>
      <c r="G28" s="449"/>
      <c r="H28" s="450">
        <f>Ansøgning!H89</f>
        <v>0</v>
      </c>
      <c r="I28" s="450"/>
      <c r="J28" s="97">
        <f>K28+L28+M28</f>
        <v>0</v>
      </c>
      <c r="K28" s="91">
        <f>K27*H28</f>
        <v>0</v>
      </c>
      <c r="L28" s="87">
        <v>0</v>
      </c>
      <c r="M28" s="87">
        <f>Ændringer!J25</f>
        <v>0</v>
      </c>
      <c r="N28" s="54"/>
    </row>
    <row r="29" spans="1:17" ht="15.75" thickBot="1" x14ac:dyDescent="0.3">
      <c r="A29" s="45"/>
      <c r="B29" s="55"/>
      <c r="C29" s="439" t="s">
        <v>231</v>
      </c>
      <c r="D29" s="440"/>
      <c r="E29" s="440"/>
      <c r="F29" s="440"/>
      <c r="G29" s="440"/>
      <c r="H29" s="440"/>
      <c r="I29" s="440"/>
      <c r="J29" s="90">
        <f>K29+L29+M29</f>
        <v>0</v>
      </c>
      <c r="K29" s="90">
        <f>Ændringer!F21*K$22</f>
        <v>0</v>
      </c>
      <c r="L29" s="90">
        <f>Ændringer!H21*L$22</f>
        <v>0</v>
      </c>
      <c r="M29" s="76">
        <f>Ansøgning!J90-(K29+L29)</f>
        <v>0</v>
      </c>
      <c r="N29" s="54"/>
    </row>
    <row r="30" spans="1:17" ht="15.75" thickBot="1" x14ac:dyDescent="0.3">
      <c r="A30" s="45"/>
      <c r="B30" s="52" t="s">
        <v>232</v>
      </c>
      <c r="C30" s="434" t="s">
        <v>233</v>
      </c>
      <c r="D30" s="435"/>
      <c r="E30" s="435"/>
      <c r="F30" s="435"/>
      <c r="G30" s="435"/>
      <c r="H30" s="435"/>
      <c r="I30" s="436"/>
      <c r="J30" s="88">
        <f>SUM(J28:J29)</f>
        <v>0</v>
      </c>
      <c r="K30" s="88">
        <f>SUM(K28:K29)</f>
        <v>0</v>
      </c>
      <c r="L30" s="88">
        <f>SUM(L28:L29)</f>
        <v>0</v>
      </c>
      <c r="M30" s="88">
        <f>SUM(M28:M29)</f>
        <v>0</v>
      </c>
      <c r="N30" s="45"/>
    </row>
    <row r="31" spans="1:17" x14ac:dyDescent="0.25">
      <c r="A31" s="45"/>
      <c r="B31" s="56"/>
      <c r="C31" s="433" t="s">
        <v>234</v>
      </c>
      <c r="D31" s="433"/>
      <c r="E31" s="433"/>
      <c r="F31" s="433"/>
      <c r="G31" s="433"/>
      <c r="H31" s="437">
        <f>IF(J27=0,0,J31/(J30+J27))</f>
        <v>0</v>
      </c>
      <c r="I31" s="438"/>
      <c r="J31" s="91">
        <f>+K31+L31+M31</f>
        <v>0</v>
      </c>
      <c r="K31" s="221">
        <f>Ændringer!H26*K$22</f>
        <v>0</v>
      </c>
      <c r="L31" s="221">
        <f>Ændringer!H26*L$22</f>
        <v>0</v>
      </c>
      <c r="M31" s="76">
        <f>Ansøgning!J92-(K31+L31)</f>
        <v>0</v>
      </c>
      <c r="N31" s="45"/>
      <c r="P31" s="190"/>
      <c r="Q31" s="190"/>
    </row>
    <row r="32" spans="1:17" x14ac:dyDescent="0.25">
      <c r="A32" s="45"/>
      <c r="B32" s="56"/>
      <c r="C32" s="441" t="s">
        <v>235</v>
      </c>
      <c r="D32" s="441"/>
      <c r="E32" s="441"/>
      <c r="F32" s="441"/>
      <c r="G32" s="441"/>
      <c r="H32" s="441"/>
      <c r="I32" s="441"/>
      <c r="J32" s="84">
        <f>+K32+L32+M32</f>
        <v>0</v>
      </c>
      <c r="K32" s="221">
        <f>Ændringer!H27*K$22</f>
        <v>0</v>
      </c>
      <c r="L32" s="221">
        <f>Ændringer!H27*L$22</f>
        <v>0</v>
      </c>
      <c r="M32" s="76">
        <f>Ansøgning!J93-(K32+L32)</f>
        <v>0</v>
      </c>
      <c r="N32" s="45"/>
    </row>
    <row r="33" spans="1:14" ht="15.75" thickBot="1" x14ac:dyDescent="0.3">
      <c r="A33" s="45"/>
      <c r="B33" s="56"/>
      <c r="C33" s="432" t="s">
        <v>236</v>
      </c>
      <c r="D33" s="432"/>
      <c r="E33" s="432"/>
      <c r="F33" s="432"/>
      <c r="G33" s="432"/>
      <c r="H33" s="432"/>
      <c r="I33" s="432"/>
      <c r="J33" s="84">
        <f>+K33+L33+M33</f>
        <v>0</v>
      </c>
      <c r="K33" s="221">
        <f>Ændringer!H28*K$22</f>
        <v>0</v>
      </c>
      <c r="L33" s="221">
        <f>Ændringer!H28*L$22</f>
        <v>0</v>
      </c>
      <c r="M33" s="76">
        <f>Ansøgning!J94-(K33+L33)</f>
        <v>0</v>
      </c>
      <c r="N33" s="45"/>
    </row>
    <row r="34" spans="1:14" ht="15.75" thickBot="1" x14ac:dyDescent="0.3">
      <c r="A34" s="45"/>
      <c r="B34" s="52" t="s">
        <v>237</v>
      </c>
      <c r="C34" s="434" t="s">
        <v>238</v>
      </c>
      <c r="D34" s="435"/>
      <c r="E34" s="435"/>
      <c r="F34" s="435"/>
      <c r="G34" s="435"/>
      <c r="H34" s="435"/>
      <c r="I34" s="436"/>
      <c r="J34" s="88">
        <f>SUM(K34:M34)</f>
        <v>0</v>
      </c>
      <c r="K34" s="88">
        <f>SUM(K31:K33)</f>
        <v>0</v>
      </c>
      <c r="L34" s="88">
        <f>SUM(L31:L33)</f>
        <v>0</v>
      </c>
      <c r="M34" s="88">
        <f>SUM(M31:M33)</f>
        <v>0</v>
      </c>
      <c r="N34" s="45"/>
    </row>
    <row r="35" spans="1:14" x14ac:dyDescent="0.25">
      <c r="A35" s="45"/>
      <c r="B35" s="56"/>
      <c r="C35" s="433" t="s">
        <v>239</v>
      </c>
      <c r="D35" s="433"/>
      <c r="E35" s="433"/>
      <c r="F35" s="433"/>
      <c r="G35" s="433"/>
      <c r="H35" s="433"/>
      <c r="I35" s="433"/>
      <c r="J35" s="84">
        <f>+K35+L35+M35</f>
        <v>0</v>
      </c>
      <c r="K35" s="221">
        <f>Ændringer!H29*K$22</f>
        <v>0</v>
      </c>
      <c r="L35" s="221">
        <f>Ændringer!H29*L$22</f>
        <v>0</v>
      </c>
      <c r="M35" s="76">
        <f>Ansøgning!J96-(K35+L35)</f>
        <v>0</v>
      </c>
      <c r="N35" s="45"/>
    </row>
    <row r="36" spans="1:14" ht="15.75" thickBot="1" x14ac:dyDescent="0.3">
      <c r="A36" s="45"/>
      <c r="B36" s="56"/>
      <c r="C36" s="432" t="s">
        <v>240</v>
      </c>
      <c r="D36" s="432"/>
      <c r="E36" s="432"/>
      <c r="F36" s="432"/>
      <c r="G36" s="432"/>
      <c r="H36" s="432"/>
      <c r="I36" s="432"/>
      <c r="J36" s="84">
        <f>+K36+L36+M36</f>
        <v>0</v>
      </c>
      <c r="K36" s="221">
        <f>Ændringer!H30*K$22</f>
        <v>0</v>
      </c>
      <c r="L36" s="221">
        <f>Ændringer!H30*L$22</f>
        <v>0</v>
      </c>
      <c r="M36" s="76">
        <f>Ansøgning!J97-(K36+L36)</f>
        <v>0</v>
      </c>
      <c r="N36" s="45"/>
    </row>
    <row r="37" spans="1:14" ht="15.75" thickBot="1" x14ac:dyDescent="0.3">
      <c r="A37" s="45"/>
      <c r="B37" s="52" t="s">
        <v>241</v>
      </c>
      <c r="C37" s="434" t="s">
        <v>242</v>
      </c>
      <c r="D37" s="435"/>
      <c r="E37" s="435"/>
      <c r="F37" s="435"/>
      <c r="G37" s="435"/>
      <c r="H37" s="435"/>
      <c r="I37" s="436"/>
      <c r="J37" s="88">
        <f>SUM(K37:M37)</f>
        <v>0</v>
      </c>
      <c r="K37" s="88">
        <f>SUM(K35:K36)</f>
        <v>0</v>
      </c>
      <c r="L37" s="88">
        <f>SUM(L35:L36)</f>
        <v>0</v>
      </c>
      <c r="M37" s="88">
        <f>SUM(M35:M36)</f>
        <v>0</v>
      </c>
      <c r="N37" s="45"/>
    </row>
    <row r="38" spans="1:14" x14ac:dyDescent="0.25">
      <c r="A38" s="45"/>
      <c r="B38" s="56"/>
      <c r="C38" s="433" t="s">
        <v>243</v>
      </c>
      <c r="D38" s="433"/>
      <c r="E38" s="433"/>
      <c r="F38" s="433"/>
      <c r="G38" s="433"/>
      <c r="H38" s="433"/>
      <c r="I38" s="433"/>
      <c r="J38" s="84">
        <f>+K38+L38+M38</f>
        <v>0</v>
      </c>
      <c r="K38" s="221">
        <f>Ændringer!H31*K$22</f>
        <v>0</v>
      </c>
      <c r="L38" s="221">
        <f>Ændringer!H31*L$22</f>
        <v>0</v>
      </c>
      <c r="M38" s="76">
        <f>Ansøgning!J99-(K38+L38)</f>
        <v>0</v>
      </c>
      <c r="N38" s="45"/>
    </row>
    <row r="39" spans="1:14" x14ac:dyDescent="0.25">
      <c r="A39" s="45"/>
      <c r="B39" s="56"/>
      <c r="C39" s="441" t="s">
        <v>244</v>
      </c>
      <c r="D39" s="441"/>
      <c r="E39" s="441"/>
      <c r="F39" s="441"/>
      <c r="G39" s="441"/>
      <c r="H39" s="441"/>
      <c r="I39" s="441"/>
      <c r="J39" s="84">
        <f>+K39+L39+M39</f>
        <v>0</v>
      </c>
      <c r="K39" s="221">
        <f>Ændringer!H32*K$22</f>
        <v>0</v>
      </c>
      <c r="L39" s="221">
        <f>Ændringer!H32*L$22</f>
        <v>0</v>
      </c>
      <c r="M39" s="76">
        <f>Ansøgning!J100-(K39+L39)</f>
        <v>0</v>
      </c>
      <c r="N39" s="45"/>
    </row>
    <row r="40" spans="1:14" x14ac:dyDescent="0.25">
      <c r="A40" s="45"/>
      <c r="B40" s="56"/>
      <c r="C40" s="441" t="s">
        <v>245</v>
      </c>
      <c r="D40" s="441"/>
      <c r="E40" s="441"/>
      <c r="F40" s="441"/>
      <c r="G40" s="441"/>
      <c r="H40" s="441"/>
      <c r="I40" s="441"/>
      <c r="J40" s="84">
        <f>+K40+L40+M40</f>
        <v>0</v>
      </c>
      <c r="K40" s="221">
        <f>Ændringer!H33*K$22</f>
        <v>0</v>
      </c>
      <c r="L40" s="221">
        <f>Ændringer!H33*L$22</f>
        <v>0</v>
      </c>
      <c r="M40" s="76">
        <f>Ansøgning!J101-(K40+L40)</f>
        <v>0</v>
      </c>
      <c r="N40" s="45"/>
    </row>
    <row r="41" spans="1:14" ht="15.75" thickBot="1" x14ac:dyDescent="0.3">
      <c r="A41" s="45"/>
      <c r="B41" s="56"/>
      <c r="C41" s="432" t="s">
        <v>246</v>
      </c>
      <c r="D41" s="432"/>
      <c r="E41" s="432"/>
      <c r="F41" s="432"/>
      <c r="G41" s="432"/>
      <c r="H41" s="432"/>
      <c r="I41" s="432"/>
      <c r="J41" s="84">
        <f>+K41+L41+M41</f>
        <v>0</v>
      </c>
      <c r="K41" s="221">
        <f>Ændringer!H34*K$22</f>
        <v>0</v>
      </c>
      <c r="L41" s="221">
        <f>Ændringer!H34*L$22</f>
        <v>0</v>
      </c>
      <c r="M41" s="76">
        <f>Ansøgning!J102-(K41+L41)</f>
        <v>0</v>
      </c>
      <c r="N41" s="45"/>
    </row>
    <row r="42" spans="1:14" ht="15.75" thickBot="1" x14ac:dyDescent="0.3">
      <c r="A42" s="45"/>
      <c r="B42" s="52" t="s">
        <v>247</v>
      </c>
      <c r="C42" s="434" t="s">
        <v>248</v>
      </c>
      <c r="D42" s="435"/>
      <c r="E42" s="435"/>
      <c r="F42" s="435"/>
      <c r="G42" s="435"/>
      <c r="H42" s="435"/>
      <c r="I42" s="436"/>
      <c r="J42" s="88">
        <f>SUM(K42:M42)</f>
        <v>0</v>
      </c>
      <c r="K42" s="88">
        <f>SUM(K38:K41)</f>
        <v>0</v>
      </c>
      <c r="L42" s="88">
        <f>SUM(L38:L41)</f>
        <v>0</v>
      </c>
      <c r="M42" s="88">
        <f>SUM(M38:M41)</f>
        <v>0</v>
      </c>
      <c r="N42" s="45"/>
    </row>
    <row r="43" spans="1:14" x14ac:dyDescent="0.25">
      <c r="A43" s="45"/>
      <c r="B43" s="56"/>
      <c r="C43" s="433" t="s">
        <v>304</v>
      </c>
      <c r="D43" s="433"/>
      <c r="E43" s="433"/>
      <c r="F43" s="433"/>
      <c r="G43" s="433"/>
      <c r="H43" s="433"/>
      <c r="I43" s="433"/>
      <c r="J43" s="91">
        <f>K43+L43+M43</f>
        <v>0</v>
      </c>
      <c r="K43" s="91">
        <f>(K27+K30+K31)*0.25</f>
        <v>0</v>
      </c>
      <c r="L43" s="82">
        <f>(L27+L30+L31)*0.25</f>
        <v>0</v>
      </c>
      <c r="M43" s="82">
        <f>(M27+M30+M31)*0.25</f>
        <v>0</v>
      </c>
      <c r="N43" s="45"/>
    </row>
    <row r="44" spans="1:14" x14ac:dyDescent="0.25">
      <c r="A44" s="45"/>
      <c r="B44" s="56"/>
      <c r="C44" s="441" t="s">
        <v>250</v>
      </c>
      <c r="D44" s="441"/>
      <c r="E44" s="441"/>
      <c r="F44" s="441"/>
      <c r="G44" s="441"/>
      <c r="H44" s="441"/>
      <c r="I44" s="441"/>
      <c r="J44" s="84">
        <f>K44+L44+M44</f>
        <v>0</v>
      </c>
      <c r="K44" s="84">
        <f>K32*0.25</f>
        <v>0</v>
      </c>
      <c r="L44" s="89">
        <f>L32*0.25</f>
        <v>0</v>
      </c>
      <c r="M44" s="89">
        <f>M32*0.25</f>
        <v>0</v>
      </c>
      <c r="N44" s="45"/>
    </row>
    <row r="45" spans="1:14" x14ac:dyDescent="0.25">
      <c r="A45" s="45"/>
      <c r="B45" s="56"/>
      <c r="C45" s="441" t="s">
        <v>251</v>
      </c>
      <c r="D45" s="441"/>
      <c r="E45" s="441"/>
      <c r="F45" s="441"/>
      <c r="G45" s="441"/>
      <c r="H45" s="441"/>
      <c r="I45" s="441"/>
      <c r="J45" s="84">
        <f>K45+L45+M45</f>
        <v>0</v>
      </c>
      <c r="K45" s="84">
        <f>+K38*0.25</f>
        <v>0</v>
      </c>
      <c r="L45" s="89">
        <f>+L38*0.25</f>
        <v>0</v>
      </c>
      <c r="M45" s="89">
        <f>+M38*0.25</f>
        <v>0</v>
      </c>
      <c r="N45" s="45"/>
    </row>
    <row r="46" spans="1:14" ht="15.75" thickBot="1" x14ac:dyDescent="0.3">
      <c r="A46" s="45"/>
      <c r="B46" s="56"/>
      <c r="C46" s="432" t="s">
        <v>252</v>
      </c>
      <c r="D46" s="432"/>
      <c r="E46" s="432"/>
      <c r="F46" s="432"/>
      <c r="G46" s="432"/>
      <c r="H46" s="432"/>
      <c r="I46" s="432"/>
      <c r="J46" s="82">
        <f>K46+L46+M46</f>
        <v>0</v>
      </c>
      <c r="K46" s="76">
        <f>K41*0.25</f>
        <v>0</v>
      </c>
      <c r="L46" s="76">
        <f>L41*0.25</f>
        <v>0</v>
      </c>
      <c r="M46" s="76">
        <f>M41*0.25</f>
        <v>0</v>
      </c>
      <c r="N46" s="45"/>
    </row>
    <row r="47" spans="1:14" ht="15" customHeight="1" thickBot="1" x14ac:dyDescent="0.3">
      <c r="A47" s="45"/>
      <c r="B47" s="52" t="s">
        <v>253</v>
      </c>
      <c r="C47" s="434" t="s">
        <v>254</v>
      </c>
      <c r="D47" s="435"/>
      <c r="E47" s="435"/>
      <c r="F47" s="435"/>
      <c r="G47" s="435"/>
      <c r="H47" s="435"/>
      <c r="I47" s="436"/>
      <c r="J47" s="88">
        <f>SUM(K47:M47)</f>
        <v>0</v>
      </c>
      <c r="K47" s="88">
        <f>SUM(K43:K46)</f>
        <v>0</v>
      </c>
      <c r="L47" s="88">
        <f>SUM(L43:L46)</f>
        <v>0</v>
      </c>
      <c r="M47" s="88">
        <f>SUM(M43:M46)</f>
        <v>0</v>
      </c>
      <c r="N47" s="45"/>
    </row>
    <row r="48" spans="1:14" x14ac:dyDescent="0.25">
      <c r="A48" s="234"/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</row>
    <row r="49" spans="1:14" x14ac:dyDescent="0.25">
      <c r="A49" s="9"/>
      <c r="B49" s="247" t="s">
        <v>23</v>
      </c>
      <c r="C49" s="247"/>
      <c r="D49" s="247"/>
      <c r="E49" s="247"/>
      <c r="F49" s="247"/>
      <c r="G49" s="247"/>
      <c r="H49" s="247"/>
      <c r="I49" s="247"/>
      <c r="J49" s="114">
        <f>SUM(K49:M49)</f>
        <v>0</v>
      </c>
      <c r="K49" s="114">
        <f>K27+K30+K34+K37+K42+K47</f>
        <v>0</v>
      </c>
      <c r="L49" s="114">
        <f>L27+L30+L34+L37+L42+L47</f>
        <v>0</v>
      </c>
      <c r="M49" s="194">
        <f>M27+M30+M34+M37+M42+M47</f>
        <v>0</v>
      </c>
      <c r="N49" s="193"/>
    </row>
    <row r="50" spans="1:14" x14ac:dyDescent="0.25">
      <c r="A50" s="9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99"/>
      <c r="N50" s="45"/>
    </row>
    <row r="51" spans="1:14" x14ac:dyDescent="0.25">
      <c r="A51" s="9"/>
      <c r="B51" s="242" t="s">
        <v>305</v>
      </c>
      <c r="C51" s="242"/>
      <c r="D51" s="242"/>
      <c r="E51" s="242"/>
      <c r="F51" s="242"/>
      <c r="G51" s="242"/>
      <c r="H51" s="242"/>
      <c r="I51" s="242"/>
      <c r="J51" s="112">
        <f>K51+L51</f>
        <v>0</v>
      </c>
      <c r="K51" s="111">
        <f>Ansøgning!L50</f>
        <v>0</v>
      </c>
      <c r="L51" s="111">
        <f>Ansøgning!L51</f>
        <v>0</v>
      </c>
      <c r="M51" s="99"/>
      <c r="N51" s="99"/>
    </row>
    <row r="52" spans="1:14" x14ac:dyDescent="0.25">
      <c r="A52" s="9"/>
      <c r="B52" s="246" t="s">
        <v>306</v>
      </c>
      <c r="C52" s="246"/>
      <c r="D52" s="246"/>
      <c r="E52" s="246"/>
      <c r="F52" s="246"/>
      <c r="G52" s="246"/>
      <c r="H52" s="246"/>
      <c r="I52" s="246"/>
      <c r="J52" s="113">
        <f>K52+L52</f>
        <v>0</v>
      </c>
      <c r="K52" s="113">
        <f>K49-K51</f>
        <v>0</v>
      </c>
      <c r="L52" s="113">
        <f>L49-L51</f>
        <v>0</v>
      </c>
      <c r="M52" s="99"/>
      <c r="N52" s="99"/>
    </row>
    <row r="53" spans="1:14" ht="7.5" customHeight="1" x14ac:dyDescent="0.25">
      <c r="A53" s="9"/>
      <c r="B53" s="61"/>
      <c r="C53" s="61"/>
      <c r="D53" s="61"/>
      <c r="E53" s="61"/>
      <c r="F53" s="61"/>
      <c r="G53" s="61"/>
      <c r="H53" s="61"/>
      <c r="I53" s="99"/>
      <c r="J53" s="99"/>
      <c r="K53" s="99"/>
      <c r="L53" s="99"/>
      <c r="M53" s="99"/>
      <c r="N53" s="99"/>
    </row>
    <row r="1048418" spans="2:10" x14ac:dyDescent="0.25">
      <c r="B1048418" s="378"/>
      <c r="C1048418" s="378"/>
      <c r="D1048418" s="378"/>
      <c r="E1048418" s="378"/>
      <c r="F1048418" s="378"/>
      <c r="G1048418" s="378"/>
      <c r="H1048418" s="378"/>
      <c r="I1048418" s="378"/>
      <c r="J1048418" s="378"/>
    </row>
  </sheetData>
  <sheetProtection sheet="1" selectLockedCells="1"/>
  <mergeCells count="61">
    <mergeCell ref="B1048418:J1048418"/>
    <mergeCell ref="B51:I51"/>
    <mergeCell ref="B52:I52"/>
    <mergeCell ref="I48:J48"/>
    <mergeCell ref="C41:I41"/>
    <mergeCell ref="C42:I42"/>
    <mergeCell ref="C43:I43"/>
    <mergeCell ref="C44:I44"/>
    <mergeCell ref="C45:I45"/>
    <mergeCell ref="M48:N48"/>
    <mergeCell ref="B49:I49"/>
    <mergeCell ref="C46:I46"/>
    <mergeCell ref="C47:I47"/>
    <mergeCell ref="A48:B48"/>
    <mergeCell ref="C48:D48"/>
    <mergeCell ref="E48:F48"/>
    <mergeCell ref="G48:H48"/>
    <mergeCell ref="K48:L48"/>
    <mergeCell ref="C36:I36"/>
    <mergeCell ref="C37:I37"/>
    <mergeCell ref="C38:I38"/>
    <mergeCell ref="C39:I39"/>
    <mergeCell ref="C40:I40"/>
    <mergeCell ref="A1:N1"/>
    <mergeCell ref="B2:G2"/>
    <mergeCell ref="H2:I2"/>
    <mergeCell ref="C10:G10"/>
    <mergeCell ref="C11:G11"/>
    <mergeCell ref="C8:G8"/>
    <mergeCell ref="C9:G9"/>
    <mergeCell ref="B3:G3"/>
    <mergeCell ref="C4:G4"/>
    <mergeCell ref="C5:G5"/>
    <mergeCell ref="C6:G6"/>
    <mergeCell ref="C7:G7"/>
    <mergeCell ref="C12:G12"/>
    <mergeCell ref="C13:G13"/>
    <mergeCell ref="C14:G14"/>
    <mergeCell ref="C15:G15"/>
    <mergeCell ref="C16:G16"/>
    <mergeCell ref="C29:I29"/>
    <mergeCell ref="C32:I32"/>
    <mergeCell ref="C17:G17"/>
    <mergeCell ref="C18:G18"/>
    <mergeCell ref="C19:G19"/>
    <mergeCell ref="C27:I27"/>
    <mergeCell ref="C28:G28"/>
    <mergeCell ref="H28:I28"/>
    <mergeCell ref="C20:G20"/>
    <mergeCell ref="C21:G21"/>
    <mergeCell ref="C22:J22"/>
    <mergeCell ref="C25:I25"/>
    <mergeCell ref="C26:I26"/>
    <mergeCell ref="C23:K23"/>
    <mergeCell ref="C24:J24"/>
    <mergeCell ref="C33:I33"/>
    <mergeCell ref="C35:I35"/>
    <mergeCell ref="C34:I34"/>
    <mergeCell ref="C30:I30"/>
    <mergeCell ref="C31:G31"/>
    <mergeCell ref="H31:I31"/>
  </mergeCells>
  <conditionalFormatting sqref="I4:I21">
    <cfRule type="expression" priority="8" stopIfTrue="1">
      <formula>I4&gt;0</formula>
    </cfRule>
    <cfRule type="expression" dxfId="93" priority="9">
      <formula>I4+J4&gt;0</formula>
    </cfRule>
  </conditionalFormatting>
  <conditionalFormatting sqref="J25:J26">
    <cfRule type="expression" dxfId="92" priority="6">
      <formula>$J$85=0</formula>
    </cfRule>
    <cfRule type="expression" dxfId="91" priority="7">
      <formula>$J$64+$J$66+$J$67=0</formula>
    </cfRule>
  </conditionalFormatting>
  <conditionalFormatting sqref="J28">
    <cfRule type="expression" dxfId="90" priority="5">
      <formula>$H$87&lt;10.01%</formula>
    </cfRule>
  </conditionalFormatting>
  <conditionalFormatting sqref="J31">
    <cfRule type="expression" dxfId="89" priority="4">
      <formula>$H$90&gt;0.15</formula>
    </cfRule>
  </conditionalFormatting>
  <dataValidations disablePrompts="1" count="1">
    <dataValidation allowBlank="1" showInputMessage="1" showErrorMessage="1" prompt="Formel _x000a_IKKE _x000a_slette !!!" sqref="K22:M22 K24:M24" xr:uid="{01155FF4-895A-4038-9641-7842F9CB15C7}"/>
  </dataValidations>
  <printOptions horizontalCentered="1"/>
  <pageMargins left="0" right="0" top="0" bottom="0" header="0" footer="0"/>
  <pageSetup paperSize="9" scale="86" orientation="portrait" r:id="rId1"/>
  <ignoredErrors>
    <ignoredError sqref="J42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3149F1-E7ED-4217-B062-7CDACC2082E5}">
            <xm:f>Ansøgning!$B$15="Ja"</xm:f>
            <x14:dxf>
              <fill>
                <patternFill patternType="lightUp"/>
              </fill>
            </x14:dxf>
          </x14:cfRule>
          <x14:cfRule type="expression" priority="2" id="{FC9C12B1-B1CE-4FA5-9042-E8ABB53077FC}">
            <xm:f>Ansøgning!$B$14="Ja"</xm:f>
            <x14:dxf>
              <fill>
                <patternFill patternType="lightUp"/>
              </fill>
            </x14:dxf>
          </x14:cfRule>
          <xm:sqref>C28:M28</xm:sqref>
        </x14:conditionalFormatting>
        <x14:conditionalFormatting xmlns:xm="http://schemas.microsoft.com/office/excel/2006/main">
          <x14:cfRule type="expression" priority="3" id="{7A384B25-0224-4B1E-9704-73BDACE62D19}">
            <xm:f>Ansøgning!$F$15="Ja"</xm:f>
            <x14:dxf>
              <fill>
                <patternFill patternType="lightUp"/>
              </fill>
            </x14:dxf>
          </x14:cfRule>
          <xm:sqref>L28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>
    <tabColor rgb="FF00B050"/>
  </sheetPr>
  <dimension ref="A1:X119"/>
  <sheetViews>
    <sheetView topLeftCell="A53" zoomScaleNormal="100" zoomScalePageLayoutView="80" workbookViewId="0">
      <selection activeCell="E10" sqref="E10:K10"/>
    </sheetView>
  </sheetViews>
  <sheetFormatPr defaultColWidth="9.140625" defaultRowHeight="15" x14ac:dyDescent="0.25"/>
  <cols>
    <col min="1" max="1" width="1.42578125" style="166" customWidth="1"/>
    <col min="2" max="8" width="6" style="166" bestFit="1" customWidth="1"/>
    <col min="9" max="9" width="6" style="166" customWidth="1"/>
    <col min="10" max="17" width="7.140625" style="166" customWidth="1"/>
    <col min="18" max="18" width="1.42578125" style="166" customWidth="1"/>
    <col min="19" max="19" width="6" style="166" bestFit="1" customWidth="1"/>
    <col min="20" max="20" width="9.140625" style="166"/>
    <col min="21" max="21" width="12.140625" style="166" bestFit="1" customWidth="1"/>
    <col min="22" max="22" width="9.5703125" style="166" bestFit="1" customWidth="1"/>
    <col min="23" max="16384" width="9.140625" style="166"/>
  </cols>
  <sheetData>
    <row r="1" spans="1:18" ht="7.5" customHeight="1" thickBot="1" x14ac:dyDescent="0.3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18" ht="15.75" thickBot="1" x14ac:dyDescent="0.3">
      <c r="A2" s="9"/>
      <c r="B2" s="298" t="s">
        <v>98</v>
      </c>
      <c r="C2" s="299"/>
      <c r="D2" s="299"/>
      <c r="E2" s="299"/>
      <c r="F2" s="299"/>
      <c r="G2" s="299"/>
      <c r="H2" s="299"/>
      <c r="I2" s="299"/>
      <c r="J2" s="300"/>
      <c r="K2" s="298" t="s">
        <v>99</v>
      </c>
      <c r="L2" s="299"/>
      <c r="M2" s="299"/>
      <c r="N2" s="299"/>
      <c r="O2" s="299"/>
      <c r="P2" s="299"/>
      <c r="Q2" s="300"/>
      <c r="R2" s="9"/>
    </row>
    <row r="3" spans="1:18" ht="7.5" customHeight="1" x14ac:dyDescent="0.25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4" spans="1:18" x14ac:dyDescent="0.25">
      <c r="A4" s="9"/>
      <c r="B4" s="294" t="s">
        <v>100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9"/>
    </row>
    <row r="5" spans="1:18" ht="15" customHeight="1" x14ac:dyDescent="0.25">
      <c r="A5" s="9"/>
      <c r="B5" s="301" t="s">
        <v>101</v>
      </c>
      <c r="C5" s="302"/>
      <c r="D5" s="303"/>
      <c r="E5" s="467" t="str">
        <f>Ansøgning!E5</f>
        <v>Vejnavn(e)</v>
      </c>
      <c r="F5" s="468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9"/>
      <c r="R5" s="9"/>
    </row>
    <row r="6" spans="1:18" ht="15" customHeight="1" x14ac:dyDescent="0.25">
      <c r="A6" s="9"/>
      <c r="B6" s="304" t="s">
        <v>103</v>
      </c>
      <c r="C6" s="305"/>
      <c r="D6" s="306"/>
      <c r="E6" s="467" t="str">
        <f>Ansøgning!E6</f>
        <v>Nummer / numre</v>
      </c>
      <c r="F6" s="470"/>
      <c r="G6" s="471"/>
      <c r="H6" s="301" t="s">
        <v>105</v>
      </c>
      <c r="I6" s="302"/>
      <c r="J6" s="303"/>
      <c r="K6" s="467" t="str">
        <f>Ansøgning!K6</f>
        <v>Bogstav(er)</v>
      </c>
      <c r="L6" s="470"/>
      <c r="M6" s="471"/>
      <c r="N6" s="307" t="s">
        <v>107</v>
      </c>
      <c r="O6" s="308"/>
      <c r="P6" s="467" t="str">
        <f>Ændringer!G47</f>
        <v>SAVE</v>
      </c>
      <c r="Q6" s="471"/>
      <c r="R6" s="9"/>
    </row>
    <row r="7" spans="1:18" ht="15" customHeight="1" x14ac:dyDescent="0.25">
      <c r="A7" s="9"/>
      <c r="B7" s="223" t="s">
        <v>307</v>
      </c>
      <c r="C7" s="224"/>
      <c r="D7" s="225"/>
      <c r="E7" s="467" t="str">
        <f>Ansøgning!E7</f>
        <v>Nummer</v>
      </c>
      <c r="F7" s="470"/>
      <c r="G7" s="471"/>
      <c r="H7" s="223" t="s">
        <v>110</v>
      </c>
      <c r="I7" s="224"/>
      <c r="J7" s="225"/>
      <c r="K7" s="467" t="str">
        <f>Ændringer!G45</f>
        <v>Matr. nr.</v>
      </c>
      <c r="L7" s="470"/>
      <c r="M7" s="471"/>
      <c r="N7" s="223" t="s">
        <v>360</v>
      </c>
      <c r="O7" s="225"/>
      <c r="P7" s="467" t="str">
        <f>Ansøgning!P7</f>
        <v>Nr.</v>
      </c>
      <c r="Q7" s="471"/>
      <c r="R7" s="9"/>
    </row>
    <row r="8" spans="1:18" ht="7.5" customHeight="1" x14ac:dyDescent="0.25">
      <c r="A8" s="9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9"/>
    </row>
    <row r="9" spans="1:18" x14ac:dyDescent="0.25">
      <c r="A9" s="9"/>
      <c r="B9" s="295" t="s">
        <v>113</v>
      </c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9"/>
    </row>
    <row r="10" spans="1:18" x14ac:dyDescent="0.25">
      <c r="A10" s="10"/>
      <c r="B10" s="223" t="s">
        <v>114</v>
      </c>
      <c r="C10" s="224"/>
      <c r="D10" s="225"/>
      <c r="E10" s="289" t="s">
        <v>115</v>
      </c>
      <c r="F10" s="287"/>
      <c r="G10" s="287"/>
      <c r="H10" s="287"/>
      <c r="I10" s="287"/>
      <c r="J10" s="287"/>
      <c r="K10" s="288"/>
      <c r="L10" s="223" t="s">
        <v>116</v>
      </c>
      <c r="M10" s="224"/>
      <c r="N10" s="225"/>
      <c r="O10" s="289" t="s">
        <v>49</v>
      </c>
      <c r="P10" s="287"/>
      <c r="Q10" s="288"/>
      <c r="R10" s="10"/>
    </row>
    <row r="11" spans="1:18" x14ac:dyDescent="0.25">
      <c r="A11" s="10"/>
      <c r="B11" s="223" t="s">
        <v>117</v>
      </c>
      <c r="C11" s="224"/>
      <c r="D11" s="225"/>
      <c r="E11" s="289" t="s">
        <v>118</v>
      </c>
      <c r="F11" s="287"/>
      <c r="G11" s="287"/>
      <c r="H11" s="287"/>
      <c r="I11" s="287"/>
      <c r="J11" s="287"/>
      <c r="K11" s="288"/>
      <c r="L11" s="223" t="s">
        <v>119</v>
      </c>
      <c r="M11" s="224"/>
      <c r="N11" s="225"/>
      <c r="O11" s="289" t="s">
        <v>49</v>
      </c>
      <c r="P11" s="287"/>
      <c r="Q11" s="288"/>
      <c r="R11" s="10"/>
    </row>
    <row r="12" spans="1:18" x14ac:dyDescent="0.25">
      <c r="A12" s="10"/>
      <c r="B12" s="223" t="s">
        <v>120</v>
      </c>
      <c r="C12" s="224"/>
      <c r="D12" s="225"/>
      <c r="E12" s="289" t="s">
        <v>121</v>
      </c>
      <c r="F12" s="287"/>
      <c r="G12" s="287"/>
      <c r="H12" s="287"/>
      <c r="I12" s="287"/>
      <c r="J12" s="287"/>
      <c r="K12" s="288"/>
      <c r="L12" s="223" t="s">
        <v>122</v>
      </c>
      <c r="M12" s="224"/>
      <c r="N12" s="225"/>
      <c r="O12" s="289" t="s">
        <v>123</v>
      </c>
      <c r="P12" s="287"/>
      <c r="Q12" s="288"/>
      <c r="R12" s="10"/>
    </row>
    <row r="13" spans="1:18" x14ac:dyDescent="0.25">
      <c r="A13" s="10"/>
      <c r="B13" s="223" t="s">
        <v>124</v>
      </c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5"/>
      <c r="R13" s="10"/>
    </row>
    <row r="14" spans="1:18" x14ac:dyDescent="0.25">
      <c r="A14" s="10"/>
      <c r="B14" s="5"/>
      <c r="C14" s="256" t="s">
        <v>125</v>
      </c>
      <c r="D14" s="256"/>
      <c r="E14" s="256"/>
      <c r="F14" s="256"/>
      <c r="G14" s="256"/>
      <c r="H14" s="256"/>
      <c r="I14" s="128"/>
      <c r="J14" s="223" t="s">
        <v>126</v>
      </c>
      <c r="K14" s="224"/>
      <c r="L14" s="224"/>
      <c r="M14" s="226">
        <v>0</v>
      </c>
      <c r="N14" s="227"/>
      <c r="O14" s="223" t="s">
        <v>367</v>
      </c>
      <c r="P14" s="224"/>
      <c r="Q14" s="225"/>
      <c r="R14" s="10"/>
    </row>
    <row r="15" spans="1:18" x14ac:dyDescent="0.25">
      <c r="A15" s="10"/>
      <c r="B15" s="5"/>
      <c r="C15" s="256" t="s">
        <v>127</v>
      </c>
      <c r="D15" s="256"/>
      <c r="E15" s="256"/>
      <c r="F15" s="129"/>
      <c r="G15" s="223" t="s">
        <v>128</v>
      </c>
      <c r="H15" s="224"/>
      <c r="I15" s="224"/>
      <c r="J15" s="225"/>
      <c r="K15" s="128"/>
      <c r="L15" s="223" t="s">
        <v>129</v>
      </c>
      <c r="M15" s="225"/>
      <c r="N15" s="128"/>
      <c r="O15" s="256" t="s">
        <v>130</v>
      </c>
      <c r="P15" s="256"/>
      <c r="Q15" s="256"/>
      <c r="R15" s="10"/>
    </row>
    <row r="16" spans="1:18" ht="7.5" customHeight="1" x14ac:dyDescent="0.25">
      <c r="A16" s="293"/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</row>
    <row r="17" spans="1:18" x14ac:dyDescent="0.25">
      <c r="A17" s="10"/>
      <c r="B17" s="294" t="s">
        <v>131</v>
      </c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10"/>
    </row>
    <row r="18" spans="1:18" x14ac:dyDescent="0.25">
      <c r="A18" s="10"/>
      <c r="B18" s="223" t="s">
        <v>132</v>
      </c>
      <c r="C18" s="224"/>
      <c r="D18" s="225"/>
      <c r="E18" s="289" t="s">
        <v>133</v>
      </c>
      <c r="F18" s="287"/>
      <c r="G18" s="287"/>
      <c r="H18" s="287"/>
      <c r="I18" s="287"/>
      <c r="J18" s="287"/>
      <c r="K18" s="288"/>
      <c r="L18" s="223" t="s">
        <v>119</v>
      </c>
      <c r="M18" s="224"/>
      <c r="N18" s="225"/>
      <c r="O18" s="289" t="s">
        <v>49</v>
      </c>
      <c r="P18" s="287"/>
      <c r="Q18" s="288"/>
      <c r="R18" s="10"/>
    </row>
    <row r="19" spans="1:18" x14ac:dyDescent="0.25">
      <c r="A19" s="10"/>
      <c r="B19" s="223" t="s">
        <v>117</v>
      </c>
      <c r="C19" s="224"/>
      <c r="D19" s="225"/>
      <c r="E19" s="289" t="s">
        <v>134</v>
      </c>
      <c r="F19" s="287"/>
      <c r="G19" s="287"/>
      <c r="H19" s="287"/>
      <c r="I19" s="287"/>
      <c r="J19" s="287"/>
      <c r="K19" s="288"/>
      <c r="L19" s="223" t="s">
        <v>122</v>
      </c>
      <c r="M19" s="224"/>
      <c r="N19" s="225"/>
      <c r="O19" s="289" t="s">
        <v>123</v>
      </c>
      <c r="P19" s="287"/>
      <c r="Q19" s="288"/>
      <c r="R19" s="10"/>
    </row>
    <row r="20" spans="1:18" ht="7.5" customHeight="1" x14ac:dyDescent="0.25">
      <c r="A20" s="293"/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</row>
    <row r="21" spans="1:18" x14ac:dyDescent="0.25">
      <c r="A21" s="10"/>
      <c r="B21" s="294" t="s">
        <v>135</v>
      </c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10"/>
    </row>
    <row r="22" spans="1:18" x14ac:dyDescent="0.25">
      <c r="A22" s="10"/>
      <c r="B22" s="223" t="s">
        <v>132</v>
      </c>
      <c r="C22" s="224"/>
      <c r="D22" s="225"/>
      <c r="E22" s="289" t="s">
        <v>136</v>
      </c>
      <c r="F22" s="287"/>
      <c r="G22" s="287"/>
      <c r="H22" s="287"/>
      <c r="I22" s="287"/>
      <c r="J22" s="287"/>
      <c r="K22" s="288"/>
      <c r="L22" s="223" t="s">
        <v>119</v>
      </c>
      <c r="M22" s="224"/>
      <c r="N22" s="225"/>
      <c r="O22" s="289" t="s">
        <v>49</v>
      </c>
      <c r="P22" s="287"/>
      <c r="Q22" s="288"/>
      <c r="R22" s="10"/>
    </row>
    <row r="23" spans="1:18" x14ac:dyDescent="0.25">
      <c r="A23" s="10"/>
      <c r="B23" s="223" t="s">
        <v>117</v>
      </c>
      <c r="C23" s="224"/>
      <c r="D23" s="225"/>
      <c r="E23" s="289" t="s">
        <v>118</v>
      </c>
      <c r="F23" s="287"/>
      <c r="G23" s="287"/>
      <c r="H23" s="287"/>
      <c r="I23" s="287"/>
      <c r="J23" s="287"/>
      <c r="K23" s="288"/>
      <c r="L23" s="223" t="s">
        <v>122</v>
      </c>
      <c r="M23" s="224"/>
      <c r="N23" s="225"/>
      <c r="O23" s="289" t="s">
        <v>123</v>
      </c>
      <c r="P23" s="287"/>
      <c r="Q23" s="288"/>
      <c r="R23" s="10"/>
    </row>
    <row r="24" spans="1:18" ht="7.5" customHeight="1" x14ac:dyDescent="0.25">
      <c r="A24" s="293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</row>
    <row r="25" spans="1:18" x14ac:dyDescent="0.25">
      <c r="A25" s="10"/>
      <c r="B25" s="294" t="s">
        <v>137</v>
      </c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10"/>
    </row>
    <row r="26" spans="1:18" x14ac:dyDescent="0.25">
      <c r="A26" s="10"/>
      <c r="B26" s="223" t="s">
        <v>138</v>
      </c>
      <c r="C26" s="224"/>
      <c r="D26" s="224"/>
      <c r="E26" s="224"/>
      <c r="F26" s="224"/>
      <c r="G26" s="225"/>
      <c r="H26" s="348">
        <v>0</v>
      </c>
      <c r="I26" s="349"/>
      <c r="J26" s="349"/>
      <c r="K26" s="350"/>
      <c r="L26" s="473"/>
      <c r="M26" s="474"/>
      <c r="N26" s="474"/>
      <c r="O26" s="474"/>
      <c r="P26" s="474"/>
      <c r="Q26" s="475"/>
      <c r="R26" s="10"/>
    </row>
    <row r="27" spans="1:18" ht="7.5" customHeight="1" x14ac:dyDescent="0.25">
      <c r="A27" s="293"/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</row>
    <row r="28" spans="1:18" x14ac:dyDescent="0.25">
      <c r="A28" s="10"/>
      <c r="B28" s="294" t="s">
        <v>365</v>
      </c>
      <c r="C28" s="294"/>
      <c r="D28" s="294"/>
      <c r="E28" s="294"/>
      <c r="F28" s="344"/>
      <c r="G28" s="294"/>
      <c r="H28" s="294"/>
      <c r="I28" s="294"/>
      <c r="J28" s="294"/>
      <c r="K28" s="344"/>
      <c r="L28" s="294"/>
      <c r="M28" s="294"/>
      <c r="N28" s="294"/>
      <c r="O28" s="294"/>
      <c r="P28" s="344"/>
      <c r="Q28" s="344"/>
      <c r="R28" s="10"/>
    </row>
    <row r="29" spans="1:18" x14ac:dyDescent="0.25">
      <c r="A29" s="10"/>
      <c r="B29" s="223" t="s">
        <v>308</v>
      </c>
      <c r="C29" s="224"/>
      <c r="D29" s="224"/>
      <c r="E29" s="224"/>
      <c r="F29" s="346"/>
      <c r="G29" s="224" t="s">
        <v>309</v>
      </c>
      <c r="H29" s="224"/>
      <c r="I29" s="224"/>
      <c r="J29" s="224"/>
      <c r="K29" s="346"/>
      <c r="L29" s="224" t="s">
        <v>310</v>
      </c>
      <c r="M29" s="224"/>
      <c r="N29" s="224"/>
      <c r="O29" s="224"/>
      <c r="P29" s="352"/>
      <c r="Q29" s="353"/>
      <c r="R29" s="10"/>
    </row>
    <row r="30" spans="1:18" x14ac:dyDescent="0.25">
      <c r="A30" s="10"/>
      <c r="B30" s="12" t="s">
        <v>142</v>
      </c>
      <c r="C30" s="5"/>
      <c r="D30" s="12" t="s">
        <v>143</v>
      </c>
      <c r="E30" s="14"/>
      <c r="F30" s="347"/>
      <c r="G30" s="13" t="s">
        <v>142</v>
      </c>
      <c r="H30" s="5"/>
      <c r="I30" s="12" t="s">
        <v>143</v>
      </c>
      <c r="J30" s="14"/>
      <c r="K30" s="347"/>
      <c r="L30" s="13" t="s">
        <v>142</v>
      </c>
      <c r="M30" s="5"/>
      <c r="N30" s="12" t="s">
        <v>143</v>
      </c>
      <c r="O30" s="14"/>
      <c r="P30" s="354"/>
      <c r="Q30" s="355"/>
      <c r="R30" s="10"/>
    </row>
    <row r="31" spans="1:18" ht="7.5" customHeight="1" x14ac:dyDescent="0.25">
      <c r="A31" s="293"/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</row>
    <row r="32" spans="1:18" x14ac:dyDescent="0.25">
      <c r="A32" s="10"/>
      <c r="B32" s="294" t="s">
        <v>311</v>
      </c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10"/>
    </row>
    <row r="33" spans="1:18" x14ac:dyDescent="0.25">
      <c r="A33" s="10"/>
      <c r="B33" s="256" t="s">
        <v>145</v>
      </c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10"/>
    </row>
    <row r="34" spans="1:18" x14ac:dyDescent="0.25">
      <c r="A34" s="10"/>
      <c r="B34" s="256" t="s">
        <v>146</v>
      </c>
      <c r="C34" s="256"/>
      <c r="D34" s="256"/>
      <c r="E34" s="256" t="s">
        <v>147</v>
      </c>
      <c r="F34" s="256"/>
      <c r="G34" s="256"/>
      <c r="H34" s="256" t="s">
        <v>148</v>
      </c>
      <c r="I34" s="256"/>
      <c r="J34" s="256"/>
      <c r="K34" s="256" t="s">
        <v>149</v>
      </c>
      <c r="L34" s="256"/>
      <c r="M34" s="256"/>
      <c r="N34" s="256" t="s">
        <v>312</v>
      </c>
      <c r="O34" s="256"/>
      <c r="P34" s="256"/>
      <c r="Q34" s="256"/>
      <c r="R34" s="10"/>
    </row>
    <row r="35" spans="1:18" x14ac:dyDescent="0.25">
      <c r="A35" s="10"/>
      <c r="B35" s="337">
        <v>0</v>
      </c>
      <c r="C35" s="337"/>
      <c r="D35" s="337"/>
      <c r="E35" s="337">
        <v>0</v>
      </c>
      <c r="F35" s="337"/>
      <c r="G35" s="337"/>
      <c r="H35" s="336">
        <v>0</v>
      </c>
      <c r="I35" s="336"/>
      <c r="J35" s="336"/>
      <c r="K35" s="472">
        <v>0</v>
      </c>
      <c r="L35" s="472"/>
      <c r="M35" s="472"/>
      <c r="N35" s="472">
        <v>0</v>
      </c>
      <c r="O35" s="472"/>
      <c r="P35" s="472"/>
      <c r="Q35" s="472"/>
      <c r="R35" s="10"/>
    </row>
    <row r="36" spans="1:18" x14ac:dyDescent="0.25">
      <c r="A36" s="10"/>
      <c r="B36" s="357" t="s">
        <v>151</v>
      </c>
      <c r="C36" s="358"/>
      <c r="D36" s="358"/>
      <c r="E36" s="224"/>
      <c r="F36" s="224"/>
      <c r="G36" s="224"/>
      <c r="H36" s="358"/>
      <c r="I36" s="358"/>
      <c r="J36" s="358"/>
      <c r="K36" s="224"/>
      <c r="L36" s="224"/>
      <c r="M36" s="224"/>
      <c r="N36" s="224"/>
      <c r="O36" s="224"/>
      <c r="P36" s="224"/>
      <c r="Q36" s="225"/>
      <c r="R36" s="10"/>
    </row>
    <row r="37" spans="1:18" x14ac:dyDescent="0.25">
      <c r="A37" s="10"/>
      <c r="B37" s="223" t="s">
        <v>152</v>
      </c>
      <c r="C37" s="224"/>
      <c r="D37" s="224"/>
      <c r="E37" s="225"/>
      <c r="F37" s="359" t="s">
        <v>5</v>
      </c>
      <c r="G37" s="360"/>
      <c r="H37" s="361"/>
      <c r="I37" s="362"/>
      <c r="J37" s="363"/>
      <c r="K37" s="364" t="s">
        <v>153</v>
      </c>
      <c r="L37" s="365"/>
      <c r="M37" s="366"/>
      <c r="N37" s="367">
        <v>0</v>
      </c>
      <c r="O37" s="368"/>
      <c r="P37" s="223" t="s">
        <v>154</v>
      </c>
      <c r="Q37" s="225"/>
      <c r="R37" s="10"/>
    </row>
    <row r="38" spans="1:18" x14ac:dyDescent="0.25">
      <c r="A38" s="10"/>
      <c r="B38" s="256" t="s">
        <v>155</v>
      </c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10"/>
    </row>
    <row r="39" spans="1:18" x14ac:dyDescent="0.25">
      <c r="A39" s="10"/>
      <c r="B39" s="256" t="s">
        <v>146</v>
      </c>
      <c r="C39" s="256"/>
      <c r="D39" s="256"/>
      <c r="E39" s="256" t="s">
        <v>147</v>
      </c>
      <c r="F39" s="256"/>
      <c r="G39" s="256"/>
      <c r="H39" s="256" t="s">
        <v>148</v>
      </c>
      <c r="I39" s="256"/>
      <c r="J39" s="256"/>
      <c r="K39" s="256" t="s">
        <v>149</v>
      </c>
      <c r="L39" s="256"/>
      <c r="M39" s="256"/>
      <c r="N39" s="256" t="s">
        <v>312</v>
      </c>
      <c r="O39" s="256"/>
      <c r="P39" s="256"/>
      <c r="Q39" s="256"/>
      <c r="R39" s="10"/>
    </row>
    <row r="40" spans="1:18" x14ac:dyDescent="0.25">
      <c r="A40" s="10"/>
      <c r="B40" s="337">
        <v>0</v>
      </c>
      <c r="C40" s="337"/>
      <c r="D40" s="337"/>
      <c r="E40" s="337">
        <v>0</v>
      </c>
      <c r="F40" s="337"/>
      <c r="G40" s="337"/>
      <c r="H40" s="336">
        <v>0</v>
      </c>
      <c r="I40" s="336"/>
      <c r="J40" s="336"/>
      <c r="K40" s="472">
        <v>0</v>
      </c>
      <c r="L40" s="472"/>
      <c r="M40" s="472"/>
      <c r="N40" s="472">
        <v>0</v>
      </c>
      <c r="O40" s="472"/>
      <c r="P40" s="472"/>
      <c r="Q40" s="472"/>
      <c r="R40" s="10"/>
    </row>
    <row r="41" spans="1:18" x14ac:dyDescent="0.25">
      <c r="A41" s="10"/>
      <c r="B41" s="223" t="s">
        <v>156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5"/>
      <c r="R41" s="10"/>
    </row>
    <row r="42" spans="1:18" x14ac:dyDescent="0.25">
      <c r="A42" s="10"/>
      <c r="B42" s="256" t="s">
        <v>157</v>
      </c>
      <c r="C42" s="256"/>
      <c r="D42" s="256"/>
      <c r="E42" s="348">
        <v>0</v>
      </c>
      <c r="F42" s="349"/>
      <c r="G42" s="350"/>
      <c r="H42" s="256" t="s">
        <v>158</v>
      </c>
      <c r="I42" s="256"/>
      <c r="J42" s="256"/>
      <c r="K42" s="348">
        <v>0</v>
      </c>
      <c r="L42" s="349"/>
      <c r="M42" s="350"/>
      <c r="N42" s="351"/>
      <c r="O42" s="351"/>
      <c r="P42" s="351"/>
      <c r="Q42" s="351"/>
      <c r="R42" s="10"/>
    </row>
    <row r="43" spans="1:18" x14ac:dyDescent="0.25">
      <c r="A43" s="10"/>
      <c r="B43" s="357" t="s">
        <v>159</v>
      </c>
      <c r="C43" s="358"/>
      <c r="D43" s="358"/>
      <c r="E43" s="224"/>
      <c r="F43" s="224"/>
      <c r="G43" s="224"/>
      <c r="H43" s="358"/>
      <c r="I43" s="358"/>
      <c r="J43" s="358"/>
      <c r="K43" s="224"/>
      <c r="L43" s="224"/>
      <c r="M43" s="224"/>
      <c r="N43" s="224"/>
      <c r="O43" s="224"/>
      <c r="P43" s="224"/>
      <c r="Q43" s="225"/>
      <c r="R43" s="10"/>
    </row>
    <row r="44" spans="1:18" x14ac:dyDescent="0.25">
      <c r="A44" s="10"/>
      <c r="B44" s="223" t="s">
        <v>160</v>
      </c>
      <c r="C44" s="224"/>
      <c r="D44" s="224"/>
      <c r="E44" s="225"/>
      <c r="F44" s="359" t="s">
        <v>5</v>
      </c>
      <c r="G44" s="360"/>
      <c r="H44" s="361"/>
      <c r="I44" s="362"/>
      <c r="J44" s="363"/>
      <c r="K44" s="364" t="s">
        <v>161</v>
      </c>
      <c r="L44" s="365"/>
      <c r="M44" s="366"/>
      <c r="N44" s="367">
        <v>0</v>
      </c>
      <c r="O44" s="368"/>
      <c r="P44" s="223" t="s">
        <v>154</v>
      </c>
      <c r="Q44" s="225"/>
      <c r="R44" s="10"/>
    </row>
    <row r="45" spans="1:18" ht="7.5" customHeight="1" x14ac:dyDescent="0.25">
      <c r="A45" s="293"/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</row>
    <row r="46" spans="1:18" x14ac:dyDescent="0.25">
      <c r="A46" s="10"/>
      <c r="B46" s="294" t="s">
        <v>162</v>
      </c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10"/>
    </row>
    <row r="47" spans="1:18" x14ac:dyDescent="0.25">
      <c r="A47" s="10"/>
      <c r="B47" s="256" t="s">
        <v>313</v>
      </c>
      <c r="C47" s="256"/>
      <c r="D47" s="256"/>
      <c r="E47" s="256"/>
      <c r="F47" s="256"/>
      <c r="G47" s="256"/>
      <c r="H47" s="256"/>
      <c r="I47" s="256"/>
      <c r="J47" s="256"/>
      <c r="K47" s="256"/>
      <c r="L47" s="345">
        <f>J114</f>
        <v>0</v>
      </c>
      <c r="M47" s="345"/>
      <c r="N47" s="345"/>
      <c r="O47" s="345"/>
      <c r="P47" s="345"/>
      <c r="Q47" s="345"/>
      <c r="R47" s="10"/>
    </row>
    <row r="48" spans="1:18" x14ac:dyDescent="0.25">
      <c r="A48" s="10"/>
      <c r="B48" s="223" t="s">
        <v>314</v>
      </c>
      <c r="C48" s="224"/>
      <c r="D48" s="224"/>
      <c r="E48" s="224"/>
      <c r="F48" s="224"/>
      <c r="G48" s="224"/>
      <c r="H48" s="224"/>
      <c r="I48" s="224"/>
      <c r="J48" s="224"/>
      <c r="K48" s="225"/>
      <c r="L48" s="339">
        <f>P114</f>
        <v>0</v>
      </c>
      <c r="M48" s="340"/>
      <c r="N48" s="340"/>
      <c r="O48" s="340"/>
      <c r="P48" s="340"/>
      <c r="Q48" s="341"/>
      <c r="R48" s="10"/>
    </row>
    <row r="49" spans="1:18" x14ac:dyDescent="0.25">
      <c r="A49" s="10"/>
      <c r="B49" s="223" t="s">
        <v>315</v>
      </c>
      <c r="C49" s="224"/>
      <c r="D49" s="224"/>
      <c r="E49" s="224"/>
      <c r="F49" s="224"/>
      <c r="G49" s="224"/>
      <c r="H49" s="224"/>
      <c r="I49" s="224"/>
      <c r="J49" s="224"/>
      <c r="K49" s="225"/>
      <c r="L49" s="339">
        <f>J116</f>
        <v>0</v>
      </c>
      <c r="M49" s="340"/>
      <c r="N49" s="340"/>
      <c r="O49" s="340"/>
      <c r="P49" s="340"/>
      <c r="Q49" s="341"/>
      <c r="R49" s="10"/>
    </row>
    <row r="50" spans="1:18" x14ac:dyDescent="0.25">
      <c r="A50" s="10"/>
      <c r="B50" s="256" t="s">
        <v>316</v>
      </c>
      <c r="C50" s="256"/>
      <c r="D50" s="256"/>
      <c r="E50" s="256"/>
      <c r="F50" s="256"/>
      <c r="G50" s="256"/>
      <c r="H50" s="256"/>
      <c r="I50" s="256"/>
      <c r="J50" s="256"/>
      <c r="K50" s="256"/>
      <c r="L50" s="290">
        <v>0</v>
      </c>
      <c r="M50" s="291"/>
      <c r="N50" s="291"/>
      <c r="O50" s="291"/>
      <c r="P50" s="291"/>
      <c r="Q50" s="292"/>
      <c r="R50" s="10"/>
    </row>
    <row r="51" spans="1:18" x14ac:dyDescent="0.25">
      <c r="A51" s="10"/>
      <c r="B51" s="256" t="s">
        <v>168</v>
      </c>
      <c r="C51" s="256"/>
      <c r="D51" s="256"/>
      <c r="E51" s="256"/>
      <c r="F51" s="256"/>
      <c r="G51" s="256"/>
      <c r="H51" s="256"/>
      <c r="I51" s="256"/>
      <c r="J51" s="256"/>
      <c r="K51" s="256"/>
      <c r="L51" s="342">
        <f>L47-L48-L50</f>
        <v>0</v>
      </c>
      <c r="M51" s="342"/>
      <c r="N51" s="342"/>
      <c r="O51" s="342"/>
      <c r="P51" s="342"/>
      <c r="Q51" s="342"/>
      <c r="R51" s="10"/>
    </row>
    <row r="52" spans="1:18" ht="7.5" customHeight="1" x14ac:dyDescent="0.25">
      <c r="A52" s="293"/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</row>
    <row r="53" spans="1:18" x14ac:dyDescent="0.25">
      <c r="A53" s="10"/>
      <c r="B53" s="294" t="s">
        <v>169</v>
      </c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10"/>
    </row>
    <row r="54" spans="1:18" x14ac:dyDescent="0.25">
      <c r="A54" s="10"/>
      <c r="B54" s="256" t="s">
        <v>170</v>
      </c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331">
        <v>0</v>
      </c>
      <c r="N54" s="331"/>
      <c r="O54" s="331"/>
      <c r="P54" s="331"/>
      <c r="Q54" s="331"/>
      <c r="R54" s="10"/>
    </row>
    <row r="55" spans="1:18" x14ac:dyDescent="0.25">
      <c r="A55" s="10"/>
      <c r="B55" s="256" t="s">
        <v>171</v>
      </c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331">
        <v>0</v>
      </c>
      <c r="N55" s="331"/>
      <c r="O55" s="331"/>
      <c r="P55" s="331"/>
      <c r="Q55" s="331"/>
      <c r="R55" s="10"/>
    </row>
    <row r="56" spans="1:18" ht="7.5" customHeight="1" x14ac:dyDescent="0.25">
      <c r="A56" s="293"/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</row>
    <row r="57" spans="1:18" x14ac:dyDescent="0.25">
      <c r="A57" s="10"/>
      <c r="B57" s="294" t="s">
        <v>172</v>
      </c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10"/>
    </row>
    <row r="58" spans="1:18" ht="30" customHeight="1" x14ac:dyDescent="0.25">
      <c r="A58" s="10"/>
      <c r="B58" s="338" t="s">
        <v>173</v>
      </c>
      <c r="C58" s="338"/>
      <c r="D58" s="338"/>
      <c r="E58" s="338"/>
      <c r="F58" s="338"/>
      <c r="G58" s="338"/>
      <c r="H58" s="338"/>
      <c r="I58" s="338"/>
      <c r="J58" s="338"/>
      <c r="K58" s="338"/>
      <c r="L58" s="338"/>
      <c r="M58" s="338"/>
      <c r="N58" s="338"/>
      <c r="O58" s="338"/>
      <c r="P58" s="338"/>
      <c r="Q58" s="338"/>
      <c r="R58" s="10"/>
    </row>
    <row r="59" spans="1:18" x14ac:dyDescent="0.25">
      <c r="A59" s="10"/>
      <c r="B59" s="465"/>
      <c r="C59" s="465"/>
      <c r="D59" s="465"/>
      <c r="E59" s="465"/>
      <c r="F59" s="465"/>
      <c r="G59" s="465"/>
      <c r="H59" s="465"/>
      <c r="I59" s="465"/>
      <c r="J59" s="465"/>
      <c r="K59" s="465"/>
      <c r="L59" s="465"/>
      <c r="M59" s="465"/>
      <c r="N59" s="465"/>
      <c r="O59" s="465"/>
      <c r="P59" s="465"/>
      <c r="Q59" s="465"/>
      <c r="R59" s="10"/>
    </row>
    <row r="60" spans="1:18" x14ac:dyDescent="0.25">
      <c r="A60" s="10"/>
      <c r="B60" s="465"/>
      <c r="C60" s="465"/>
      <c r="D60" s="465"/>
      <c r="E60" s="465"/>
      <c r="F60" s="465"/>
      <c r="G60" s="465"/>
      <c r="H60" s="465"/>
      <c r="I60" s="465"/>
      <c r="J60" s="465"/>
      <c r="K60" s="465"/>
      <c r="L60" s="465"/>
      <c r="M60" s="465"/>
      <c r="N60" s="465"/>
      <c r="O60" s="465"/>
      <c r="P60" s="465"/>
      <c r="Q60" s="465"/>
      <c r="R60" s="10"/>
    </row>
    <row r="61" spans="1:18" x14ac:dyDescent="0.25">
      <c r="A61" s="10"/>
      <c r="B61" s="465"/>
      <c r="C61" s="465"/>
      <c r="D61" s="465"/>
      <c r="E61" s="465"/>
      <c r="F61" s="465"/>
      <c r="G61" s="465"/>
      <c r="H61" s="465"/>
      <c r="I61" s="465"/>
      <c r="J61" s="465"/>
      <c r="K61" s="465"/>
      <c r="L61" s="465"/>
      <c r="M61" s="465"/>
      <c r="N61" s="465"/>
      <c r="O61" s="465"/>
      <c r="P61" s="465"/>
      <c r="Q61" s="465"/>
      <c r="R61" s="10"/>
    </row>
    <row r="62" spans="1:18" ht="7.5" customHeight="1" x14ac:dyDescent="0.25">
      <c r="A62" s="466"/>
      <c r="B62" s="466"/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466"/>
      <c r="O62" s="466"/>
      <c r="P62" s="466"/>
      <c r="Q62" s="466"/>
      <c r="R62" s="466"/>
    </row>
    <row r="66" spans="1:21" ht="7.5" customHeight="1" thickBot="1" x14ac:dyDescent="0.3">
      <c r="A66" s="293"/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</row>
    <row r="67" spans="1:21" ht="15.75" thickBot="1" x14ac:dyDescent="0.3">
      <c r="A67" s="9"/>
      <c r="B67" s="230" t="s">
        <v>174</v>
      </c>
      <c r="C67" s="231"/>
      <c r="D67" s="231"/>
      <c r="E67" s="231"/>
      <c r="F67" s="231"/>
      <c r="G67" s="231"/>
      <c r="H67" s="231"/>
      <c r="I67" s="232"/>
      <c r="J67" s="329" t="s">
        <v>175</v>
      </c>
      <c r="K67" s="330"/>
      <c r="L67" s="329" t="s">
        <v>176</v>
      </c>
      <c r="M67" s="330"/>
      <c r="N67" s="329" t="s">
        <v>177</v>
      </c>
      <c r="O67" s="330"/>
      <c r="P67" s="329" t="s">
        <v>178</v>
      </c>
      <c r="Q67" s="330"/>
      <c r="R67" s="9"/>
    </row>
    <row r="68" spans="1:21" ht="45" customHeight="1" x14ac:dyDescent="0.25">
      <c r="A68" s="9"/>
      <c r="B68" s="212" t="s">
        <v>229</v>
      </c>
      <c r="C68" s="229" t="s">
        <v>179</v>
      </c>
      <c r="D68" s="229"/>
      <c r="E68" s="229"/>
      <c r="F68" s="229"/>
      <c r="G68" s="229"/>
      <c r="H68" s="213" t="s">
        <v>180</v>
      </c>
      <c r="I68" s="211"/>
      <c r="J68" s="317" t="s">
        <v>148</v>
      </c>
      <c r="K68" s="317"/>
      <c r="L68" s="317" t="s">
        <v>181</v>
      </c>
      <c r="M68" s="317"/>
      <c r="N68" s="332" t="str">
        <f>IF(F15="Ja","Vedligehold","Støttede arbejder")</f>
        <v>Støttede arbejder</v>
      </c>
      <c r="O68" s="332"/>
      <c r="P68" s="332" t="s">
        <v>354</v>
      </c>
      <c r="Q68" s="332"/>
      <c r="R68" s="9"/>
    </row>
    <row r="69" spans="1:21" x14ac:dyDescent="0.25">
      <c r="A69" s="9"/>
      <c r="B69" s="205" t="s">
        <v>182</v>
      </c>
      <c r="C69" s="333" t="s">
        <v>183</v>
      </c>
      <c r="D69" s="334"/>
      <c r="E69" s="334"/>
      <c r="F69" s="334"/>
      <c r="G69" s="335"/>
      <c r="H69" s="7" t="s">
        <v>184</v>
      </c>
      <c r="I69" s="6">
        <v>0</v>
      </c>
      <c r="J69" s="280">
        <f t="shared" ref="J69:J86" si="0">+L69+N69+P69</f>
        <v>0</v>
      </c>
      <c r="K69" s="280"/>
      <c r="L69" s="272">
        <v>0</v>
      </c>
      <c r="M69" s="272"/>
      <c r="N69" s="272">
        <v>0</v>
      </c>
      <c r="O69" s="272"/>
      <c r="P69" s="272">
        <v>0</v>
      </c>
      <c r="Q69" s="272"/>
      <c r="R69" s="9"/>
    </row>
    <row r="70" spans="1:21" x14ac:dyDescent="0.25">
      <c r="A70" s="9"/>
      <c r="B70" s="2" t="s">
        <v>185</v>
      </c>
      <c r="C70" s="260" t="s">
        <v>186</v>
      </c>
      <c r="D70" s="261"/>
      <c r="E70" s="261"/>
      <c r="F70" s="261"/>
      <c r="G70" s="262"/>
      <c r="H70" s="7" t="s">
        <v>184</v>
      </c>
      <c r="I70" s="6">
        <v>0</v>
      </c>
      <c r="J70" s="280">
        <f t="shared" si="0"/>
        <v>0</v>
      </c>
      <c r="K70" s="280"/>
      <c r="L70" s="272">
        <v>0</v>
      </c>
      <c r="M70" s="272"/>
      <c r="N70" s="272">
        <v>0</v>
      </c>
      <c r="O70" s="272"/>
      <c r="P70" s="272">
        <v>0</v>
      </c>
      <c r="Q70" s="272"/>
      <c r="R70" s="9"/>
    </row>
    <row r="71" spans="1:21" x14ac:dyDescent="0.25">
      <c r="A71" s="9"/>
      <c r="B71" s="2" t="s">
        <v>187</v>
      </c>
      <c r="C71" s="260" t="s">
        <v>188</v>
      </c>
      <c r="D71" s="261"/>
      <c r="E71" s="261"/>
      <c r="F71" s="261"/>
      <c r="G71" s="262"/>
      <c r="H71" s="7" t="s">
        <v>184</v>
      </c>
      <c r="I71" s="6">
        <v>0</v>
      </c>
      <c r="J71" s="280">
        <f t="shared" si="0"/>
        <v>0</v>
      </c>
      <c r="K71" s="280"/>
      <c r="L71" s="272">
        <v>0</v>
      </c>
      <c r="M71" s="272"/>
      <c r="N71" s="272">
        <v>0</v>
      </c>
      <c r="O71" s="272"/>
      <c r="P71" s="272">
        <v>0</v>
      </c>
      <c r="Q71" s="272"/>
      <c r="R71" s="9"/>
    </row>
    <row r="72" spans="1:21" x14ac:dyDescent="0.25">
      <c r="A72" s="9"/>
      <c r="B72" s="2" t="s">
        <v>189</v>
      </c>
      <c r="C72" s="260" t="s">
        <v>190</v>
      </c>
      <c r="D72" s="261"/>
      <c r="E72" s="261"/>
      <c r="F72" s="261"/>
      <c r="G72" s="262"/>
      <c r="H72" s="7" t="s">
        <v>191</v>
      </c>
      <c r="I72" s="6">
        <v>0</v>
      </c>
      <c r="J72" s="280">
        <f t="shared" si="0"/>
        <v>0</v>
      </c>
      <c r="K72" s="280"/>
      <c r="L72" s="272">
        <v>0</v>
      </c>
      <c r="M72" s="272"/>
      <c r="N72" s="272">
        <v>0</v>
      </c>
      <c r="O72" s="272"/>
      <c r="P72" s="272">
        <v>0</v>
      </c>
      <c r="Q72" s="272"/>
      <c r="R72" s="9"/>
    </row>
    <row r="73" spans="1:21" x14ac:dyDescent="0.25">
      <c r="A73" s="9"/>
      <c r="B73" s="2" t="s">
        <v>192</v>
      </c>
      <c r="C73" s="260" t="s">
        <v>193</v>
      </c>
      <c r="D73" s="261"/>
      <c r="E73" s="261"/>
      <c r="F73" s="261"/>
      <c r="G73" s="262"/>
      <c r="H73" s="7" t="s">
        <v>191</v>
      </c>
      <c r="I73" s="6">
        <v>0</v>
      </c>
      <c r="J73" s="280">
        <f t="shared" si="0"/>
        <v>0</v>
      </c>
      <c r="K73" s="280"/>
      <c r="L73" s="272">
        <v>0</v>
      </c>
      <c r="M73" s="272"/>
      <c r="N73" s="272">
        <v>0</v>
      </c>
      <c r="O73" s="272"/>
      <c r="P73" s="272">
        <v>0</v>
      </c>
      <c r="Q73" s="272"/>
      <c r="R73" s="9"/>
    </row>
    <row r="74" spans="1:21" x14ac:dyDescent="0.25">
      <c r="A74" s="9"/>
      <c r="B74" s="2" t="s">
        <v>194</v>
      </c>
      <c r="C74" s="260" t="s">
        <v>195</v>
      </c>
      <c r="D74" s="261"/>
      <c r="E74" s="261"/>
      <c r="F74" s="261"/>
      <c r="G74" s="262"/>
      <c r="H74" s="7" t="s">
        <v>191</v>
      </c>
      <c r="I74" s="6">
        <v>0</v>
      </c>
      <c r="J74" s="280">
        <f t="shared" si="0"/>
        <v>0</v>
      </c>
      <c r="K74" s="280"/>
      <c r="L74" s="272">
        <v>0</v>
      </c>
      <c r="M74" s="272"/>
      <c r="N74" s="272">
        <v>0</v>
      </c>
      <c r="O74" s="272"/>
      <c r="P74" s="272">
        <v>0</v>
      </c>
      <c r="Q74" s="272"/>
      <c r="R74" s="9"/>
    </row>
    <row r="75" spans="1:21" x14ac:dyDescent="0.25">
      <c r="A75" s="9"/>
      <c r="B75" s="2" t="s">
        <v>196</v>
      </c>
      <c r="C75" s="260" t="s">
        <v>197</v>
      </c>
      <c r="D75" s="261"/>
      <c r="E75" s="261"/>
      <c r="F75" s="261"/>
      <c r="G75" s="262"/>
      <c r="H75" s="7" t="s">
        <v>191</v>
      </c>
      <c r="I75" s="6">
        <v>0</v>
      </c>
      <c r="J75" s="280">
        <f t="shared" si="0"/>
        <v>0</v>
      </c>
      <c r="K75" s="280"/>
      <c r="L75" s="272">
        <v>0</v>
      </c>
      <c r="M75" s="272"/>
      <c r="N75" s="272">
        <v>0</v>
      </c>
      <c r="O75" s="272"/>
      <c r="P75" s="272">
        <v>0</v>
      </c>
      <c r="Q75" s="272"/>
      <c r="R75" s="9"/>
    </row>
    <row r="76" spans="1:21" x14ac:dyDescent="0.25">
      <c r="A76" s="9"/>
      <c r="B76" s="2" t="s">
        <v>198</v>
      </c>
      <c r="C76" s="260" t="s">
        <v>199</v>
      </c>
      <c r="D76" s="261"/>
      <c r="E76" s="261"/>
      <c r="F76" s="261"/>
      <c r="G76" s="262"/>
      <c r="H76" s="7" t="s">
        <v>200</v>
      </c>
      <c r="I76" s="6">
        <v>0</v>
      </c>
      <c r="J76" s="280">
        <f t="shared" si="0"/>
        <v>0</v>
      </c>
      <c r="K76" s="280"/>
      <c r="L76" s="272">
        <v>0</v>
      </c>
      <c r="M76" s="272"/>
      <c r="N76" s="272">
        <v>0</v>
      </c>
      <c r="O76" s="272"/>
      <c r="P76" s="272">
        <v>0</v>
      </c>
      <c r="Q76" s="272"/>
      <c r="R76" s="9"/>
    </row>
    <row r="77" spans="1:21" x14ac:dyDescent="0.25">
      <c r="A77" s="9"/>
      <c r="B77" s="2" t="s">
        <v>201</v>
      </c>
      <c r="C77" s="260" t="s">
        <v>202</v>
      </c>
      <c r="D77" s="261"/>
      <c r="E77" s="261"/>
      <c r="F77" s="261"/>
      <c r="G77" s="262"/>
      <c r="H77" s="7" t="s">
        <v>191</v>
      </c>
      <c r="I77" s="6" t="s">
        <v>264</v>
      </c>
      <c r="J77" s="280">
        <f t="shared" si="0"/>
        <v>0</v>
      </c>
      <c r="K77" s="280"/>
      <c r="L77" s="272">
        <v>0</v>
      </c>
      <c r="M77" s="272"/>
      <c r="N77" s="272">
        <v>0</v>
      </c>
      <c r="O77" s="272"/>
      <c r="P77" s="272">
        <v>0</v>
      </c>
      <c r="Q77" s="272"/>
      <c r="R77" s="9"/>
    </row>
    <row r="78" spans="1:21" x14ac:dyDescent="0.25">
      <c r="A78" s="9"/>
      <c r="B78" s="2" t="s">
        <v>203</v>
      </c>
      <c r="C78" s="260" t="s">
        <v>204</v>
      </c>
      <c r="D78" s="261"/>
      <c r="E78" s="261"/>
      <c r="F78" s="261"/>
      <c r="G78" s="262"/>
      <c r="H78" s="7" t="s">
        <v>191</v>
      </c>
      <c r="I78" s="6">
        <v>0</v>
      </c>
      <c r="J78" s="280">
        <f t="shared" si="0"/>
        <v>0</v>
      </c>
      <c r="K78" s="280"/>
      <c r="L78" s="272">
        <v>0</v>
      </c>
      <c r="M78" s="272"/>
      <c r="N78" s="272">
        <v>0</v>
      </c>
      <c r="O78" s="272"/>
      <c r="P78" s="272">
        <v>0</v>
      </c>
      <c r="Q78" s="272"/>
      <c r="R78" s="9"/>
    </row>
    <row r="79" spans="1:21" x14ac:dyDescent="0.25">
      <c r="A79" s="9"/>
      <c r="B79" s="2" t="s">
        <v>205</v>
      </c>
      <c r="C79" s="260" t="s">
        <v>206</v>
      </c>
      <c r="D79" s="261"/>
      <c r="E79" s="261"/>
      <c r="F79" s="261"/>
      <c r="G79" s="262"/>
      <c r="H79" s="7" t="s">
        <v>207</v>
      </c>
      <c r="I79" s="6">
        <v>0</v>
      </c>
      <c r="J79" s="280">
        <f t="shared" si="0"/>
        <v>0</v>
      </c>
      <c r="K79" s="280"/>
      <c r="L79" s="272">
        <v>0</v>
      </c>
      <c r="M79" s="272"/>
      <c r="N79" s="272">
        <v>0</v>
      </c>
      <c r="O79" s="272"/>
      <c r="P79" s="272">
        <v>0</v>
      </c>
      <c r="Q79" s="272"/>
      <c r="R79" s="9"/>
      <c r="U79" s="167"/>
    </row>
    <row r="80" spans="1:21" x14ac:dyDescent="0.25">
      <c r="A80" s="9"/>
      <c r="B80" s="2" t="s">
        <v>208</v>
      </c>
      <c r="C80" s="260" t="s">
        <v>209</v>
      </c>
      <c r="D80" s="261"/>
      <c r="E80" s="261"/>
      <c r="F80" s="261"/>
      <c r="G80" s="262"/>
      <c r="H80" s="7" t="s">
        <v>207</v>
      </c>
      <c r="I80" s="6">
        <v>0</v>
      </c>
      <c r="J80" s="280">
        <f t="shared" si="0"/>
        <v>0</v>
      </c>
      <c r="K80" s="280"/>
      <c r="L80" s="272">
        <v>0</v>
      </c>
      <c r="M80" s="272"/>
      <c r="N80" s="272">
        <v>0</v>
      </c>
      <c r="O80" s="272"/>
      <c r="P80" s="272">
        <v>0</v>
      </c>
      <c r="Q80" s="272"/>
      <c r="R80" s="9"/>
      <c r="U80" s="167"/>
    </row>
    <row r="81" spans="1:24" x14ac:dyDescent="0.25">
      <c r="A81" s="9"/>
      <c r="B81" s="2" t="s">
        <v>210</v>
      </c>
      <c r="C81" s="260" t="s">
        <v>211</v>
      </c>
      <c r="D81" s="261"/>
      <c r="E81" s="261"/>
      <c r="F81" s="261"/>
      <c r="G81" s="262"/>
      <c r="H81" s="7" t="s">
        <v>191</v>
      </c>
      <c r="I81" s="6">
        <v>0</v>
      </c>
      <c r="J81" s="280">
        <f t="shared" si="0"/>
        <v>0</v>
      </c>
      <c r="K81" s="280"/>
      <c r="L81" s="272">
        <v>0</v>
      </c>
      <c r="M81" s="272"/>
      <c r="N81" s="272">
        <v>0</v>
      </c>
      <c r="O81" s="272"/>
      <c r="P81" s="272">
        <v>0</v>
      </c>
      <c r="Q81" s="272"/>
      <c r="R81" s="9"/>
    </row>
    <row r="82" spans="1:24" x14ac:dyDescent="0.25">
      <c r="A82" s="9"/>
      <c r="B82" s="2" t="s">
        <v>212</v>
      </c>
      <c r="C82" s="260" t="s">
        <v>213</v>
      </c>
      <c r="D82" s="261"/>
      <c r="E82" s="261"/>
      <c r="F82" s="261"/>
      <c r="G82" s="262"/>
      <c r="H82" s="7" t="s">
        <v>207</v>
      </c>
      <c r="I82" s="6">
        <v>0</v>
      </c>
      <c r="J82" s="280">
        <f>+L82+N82+P82</f>
        <v>0</v>
      </c>
      <c r="K82" s="280"/>
      <c r="L82" s="272">
        <v>0</v>
      </c>
      <c r="M82" s="272"/>
      <c r="N82" s="272">
        <v>0</v>
      </c>
      <c r="O82" s="272"/>
      <c r="P82" s="272">
        <v>0</v>
      </c>
      <c r="Q82" s="272"/>
      <c r="R82" s="9"/>
    </row>
    <row r="83" spans="1:24" x14ac:dyDescent="0.25">
      <c r="A83" s="9"/>
      <c r="B83" s="2" t="s">
        <v>214</v>
      </c>
      <c r="C83" s="260" t="s">
        <v>215</v>
      </c>
      <c r="D83" s="261"/>
      <c r="E83" s="261"/>
      <c r="F83" s="261"/>
      <c r="G83" s="262"/>
      <c r="H83" s="7" t="s">
        <v>207</v>
      </c>
      <c r="I83" s="6">
        <v>0</v>
      </c>
      <c r="J83" s="280">
        <f t="shared" si="0"/>
        <v>0</v>
      </c>
      <c r="K83" s="280"/>
      <c r="L83" s="272">
        <v>0</v>
      </c>
      <c r="M83" s="272"/>
      <c r="N83" s="272">
        <v>0</v>
      </c>
      <c r="O83" s="272"/>
      <c r="P83" s="272">
        <v>0</v>
      </c>
      <c r="Q83" s="272"/>
      <c r="R83" s="9"/>
      <c r="U83" s="167"/>
    </row>
    <row r="84" spans="1:24" x14ac:dyDescent="0.25">
      <c r="A84" s="9"/>
      <c r="B84" s="2" t="s">
        <v>216</v>
      </c>
      <c r="C84" s="260" t="s">
        <v>217</v>
      </c>
      <c r="D84" s="261"/>
      <c r="E84" s="261"/>
      <c r="F84" s="261"/>
      <c r="G84" s="262"/>
      <c r="H84" s="7" t="s">
        <v>207</v>
      </c>
      <c r="I84" s="6">
        <v>0</v>
      </c>
      <c r="J84" s="280">
        <f t="shared" si="0"/>
        <v>0</v>
      </c>
      <c r="K84" s="280"/>
      <c r="L84" s="272">
        <v>0</v>
      </c>
      <c r="M84" s="272"/>
      <c r="N84" s="272">
        <v>0</v>
      </c>
      <c r="O84" s="272"/>
      <c r="P84" s="272">
        <v>0</v>
      </c>
      <c r="Q84" s="272"/>
      <c r="R84" s="9"/>
    </row>
    <row r="85" spans="1:24" x14ac:dyDescent="0.25">
      <c r="A85" s="9"/>
      <c r="B85" s="2" t="s">
        <v>218</v>
      </c>
      <c r="C85" s="260" t="s">
        <v>219</v>
      </c>
      <c r="D85" s="261"/>
      <c r="E85" s="261"/>
      <c r="F85" s="261"/>
      <c r="G85" s="262"/>
      <c r="H85" s="7" t="s">
        <v>207</v>
      </c>
      <c r="I85" s="6">
        <v>0</v>
      </c>
      <c r="J85" s="280">
        <f t="shared" si="0"/>
        <v>0</v>
      </c>
      <c r="K85" s="280"/>
      <c r="L85" s="272">
        <v>0</v>
      </c>
      <c r="M85" s="272"/>
      <c r="N85" s="272">
        <v>0</v>
      </c>
      <c r="O85" s="272"/>
      <c r="P85" s="272">
        <v>0</v>
      </c>
      <c r="Q85" s="272"/>
      <c r="R85" s="9"/>
    </row>
    <row r="86" spans="1:24" x14ac:dyDescent="0.25">
      <c r="A86" s="9"/>
      <c r="B86" s="2" t="s">
        <v>220</v>
      </c>
      <c r="C86" s="441" t="s">
        <v>221</v>
      </c>
      <c r="D86" s="441"/>
      <c r="E86" s="441"/>
      <c r="F86" s="441"/>
      <c r="G86" s="441"/>
      <c r="H86" s="8" t="s">
        <v>200</v>
      </c>
      <c r="I86" s="6">
        <v>0</v>
      </c>
      <c r="J86" s="325">
        <f t="shared" si="0"/>
        <v>0</v>
      </c>
      <c r="K86" s="325"/>
      <c r="L86" s="272">
        <v>0</v>
      </c>
      <c r="M86" s="272"/>
      <c r="N86" s="272">
        <v>0</v>
      </c>
      <c r="O86" s="272"/>
      <c r="P86" s="272">
        <v>0</v>
      </c>
      <c r="Q86" s="272"/>
      <c r="R86" s="9"/>
      <c r="U86" s="167"/>
    </row>
    <row r="87" spans="1:24" x14ac:dyDescent="0.25">
      <c r="A87" s="9"/>
      <c r="B87" s="9"/>
      <c r="C87" s="274" t="s">
        <v>222</v>
      </c>
      <c r="D87" s="274"/>
      <c r="E87" s="274"/>
      <c r="F87" s="274"/>
      <c r="G87" s="274"/>
      <c r="H87" s="274"/>
      <c r="I87" s="274"/>
      <c r="J87" s="274"/>
      <c r="K87" s="274"/>
      <c r="L87" s="278">
        <f>IF(SUM(L69:L86)=0,0,SUM(L69:M86)/(SUM($J$69:$J$86)))</f>
        <v>0</v>
      </c>
      <c r="M87" s="278"/>
      <c r="N87" s="278">
        <f>IF(SUM(N69:N86)=0,0,SUM(N69:O86)/(SUM($J$69:$J$86)))</f>
        <v>0</v>
      </c>
      <c r="O87" s="278"/>
      <c r="P87" s="278">
        <f>IF(SUM(P69:P86)=0,0,SUM(P69:Q86)/(SUM($J$69:$J$86)))</f>
        <v>0</v>
      </c>
      <c r="Q87" s="278"/>
      <c r="R87" s="9"/>
      <c r="U87" s="168"/>
    </row>
    <row r="88" spans="1:24" x14ac:dyDescent="0.25">
      <c r="A88" s="9"/>
      <c r="B88" s="9"/>
      <c r="C88" s="281" t="s">
        <v>223</v>
      </c>
      <c r="D88" s="282"/>
      <c r="E88" s="282"/>
      <c r="F88" s="282"/>
      <c r="G88" s="282"/>
      <c r="H88" s="282"/>
      <c r="I88" s="282"/>
      <c r="J88" s="282"/>
      <c r="K88" s="282"/>
      <c r="L88" s="282"/>
      <c r="M88" s="283"/>
      <c r="N88" s="24"/>
      <c r="O88" s="24"/>
      <c r="P88" s="24"/>
      <c r="Q88" s="24"/>
      <c r="R88" s="25"/>
      <c r="U88" s="167"/>
    </row>
    <row r="89" spans="1:24" x14ac:dyDescent="0.25">
      <c r="A89" s="9"/>
      <c r="B89" s="9"/>
      <c r="C89" s="281" t="s">
        <v>224</v>
      </c>
      <c r="D89" s="282"/>
      <c r="E89" s="282"/>
      <c r="F89" s="282"/>
      <c r="G89" s="282"/>
      <c r="H89" s="282"/>
      <c r="I89" s="282"/>
      <c r="J89" s="282"/>
      <c r="K89" s="283"/>
      <c r="L89" s="318">
        <f>IF(L69+L71+L72=0,0,(L69+L71+L72)/($J$69+$J$71+$J$72))</f>
        <v>0</v>
      </c>
      <c r="M89" s="319"/>
      <c r="N89" s="318">
        <f>IF(N69+N71+N72=0,0,(N69+N71+N72)/($J$69+$J$71+$J$72))</f>
        <v>0</v>
      </c>
      <c r="O89" s="319"/>
      <c r="P89" s="318">
        <f>IF(P69+P71+P72=0,0,(P69+P71+P72)/($J$69+$J$71+$J$72))</f>
        <v>0</v>
      </c>
      <c r="Q89" s="319"/>
      <c r="R89" s="9"/>
    </row>
    <row r="90" spans="1:24" x14ac:dyDescent="0.25">
      <c r="A90" s="9"/>
      <c r="B90" s="2" t="s">
        <v>225</v>
      </c>
      <c r="C90" s="260" t="s">
        <v>226</v>
      </c>
      <c r="D90" s="261"/>
      <c r="E90" s="261"/>
      <c r="F90" s="261"/>
      <c r="G90" s="261"/>
      <c r="H90" s="261"/>
      <c r="I90" s="262"/>
      <c r="J90" s="257">
        <v>0</v>
      </c>
      <c r="K90" s="257"/>
      <c r="L90" s="241">
        <f>IF($L$69+$L$71+$L$72&gt;0,($L$69+$L$71+$L$72)/($J$69+$J$71+$J$72)*(J90),IF($L$69+$L$71+$L$72=0,0))</f>
        <v>0</v>
      </c>
      <c r="M90" s="241"/>
      <c r="N90" s="241">
        <f>IF(N69+N71+N72&gt;0,(N69+N71+N72)/(J69+J71+J72)*(J90),IF(N69+N71+N72=0,0))</f>
        <v>0</v>
      </c>
      <c r="O90" s="241"/>
      <c r="P90" s="241">
        <f>IF($P$69+$P$71+$P$72&gt;0,($P$69+$P$71+$P$72)/($J$69+$J$71+$J$72)*(J90),IF($P$69+$P$71+$P$72=0,0))</f>
        <v>0</v>
      </c>
      <c r="Q90" s="241"/>
      <c r="R90" s="9"/>
      <c r="T90" s="169"/>
    </row>
    <row r="91" spans="1:24" ht="15.75" thickBot="1" x14ac:dyDescent="0.3">
      <c r="A91" s="9"/>
      <c r="B91" s="3" t="s">
        <v>227</v>
      </c>
      <c r="C91" s="266" t="s">
        <v>228</v>
      </c>
      <c r="D91" s="267"/>
      <c r="E91" s="267"/>
      <c r="F91" s="267"/>
      <c r="G91" s="267"/>
      <c r="H91" s="267"/>
      <c r="I91" s="268"/>
      <c r="J91" s="255">
        <v>0</v>
      </c>
      <c r="K91" s="255"/>
      <c r="L91" s="241">
        <f>J91*L87</f>
        <v>0</v>
      </c>
      <c r="M91" s="241"/>
      <c r="N91" s="241">
        <f>J91*N87</f>
        <v>0</v>
      </c>
      <c r="O91" s="241"/>
      <c r="P91" s="241">
        <f>J91*P87</f>
        <v>0</v>
      </c>
      <c r="Q91" s="241"/>
      <c r="R91" s="9"/>
      <c r="V91" s="168"/>
      <c r="W91" s="168"/>
      <c r="X91" s="168"/>
    </row>
    <row r="92" spans="1:24" ht="15.75" thickBot="1" x14ac:dyDescent="0.3">
      <c r="A92" s="9"/>
      <c r="B92" s="11" t="s">
        <v>229</v>
      </c>
      <c r="C92" s="284" t="s">
        <v>230</v>
      </c>
      <c r="D92" s="285"/>
      <c r="E92" s="285"/>
      <c r="F92" s="285"/>
      <c r="G92" s="285"/>
      <c r="H92" s="285"/>
      <c r="I92" s="286"/>
      <c r="J92" s="269">
        <f>SUM(L92:Q92)</f>
        <v>0</v>
      </c>
      <c r="K92" s="270"/>
      <c r="L92" s="269">
        <f>SUM(L69:L86)+L90+L91</f>
        <v>0</v>
      </c>
      <c r="M92" s="270"/>
      <c r="N92" s="269">
        <f>SUM(N69:N86)+N90+N91</f>
        <v>0</v>
      </c>
      <c r="O92" s="270"/>
      <c r="P92" s="269">
        <f>SUM(P69:P86)+P90+P91</f>
        <v>0</v>
      </c>
      <c r="Q92" s="270"/>
      <c r="R92" s="9"/>
    </row>
    <row r="93" spans="1:24" x14ac:dyDescent="0.25">
      <c r="A93" s="9"/>
      <c r="B93" s="208" t="s">
        <v>358</v>
      </c>
      <c r="C93" s="275" t="s">
        <v>375</v>
      </c>
      <c r="D93" s="276"/>
      <c r="E93" s="276"/>
      <c r="F93" s="276"/>
      <c r="G93" s="276"/>
      <c r="H93" s="277">
        <f>IF(AND(F15="Ja",L92&gt;0),0.1,0)</f>
        <v>0</v>
      </c>
      <c r="I93" s="277"/>
      <c r="J93" s="271">
        <f>L93+N93+P93</f>
        <v>0</v>
      </c>
      <c r="K93" s="271"/>
      <c r="L93" s="279">
        <f>L92*H93</f>
        <v>0</v>
      </c>
      <c r="M93" s="279"/>
      <c r="N93" s="279">
        <v>0</v>
      </c>
      <c r="O93" s="279"/>
      <c r="P93" s="279">
        <v>0</v>
      </c>
      <c r="Q93" s="279"/>
      <c r="R93" s="33"/>
    </row>
    <row r="94" spans="1:24" ht="15.75" thickBot="1" x14ac:dyDescent="0.3">
      <c r="A94" s="9"/>
      <c r="B94" s="206" t="s">
        <v>358</v>
      </c>
      <c r="C94" s="320" t="s">
        <v>371</v>
      </c>
      <c r="D94" s="321"/>
      <c r="E94" s="321"/>
      <c r="F94" s="321"/>
      <c r="G94" s="321"/>
      <c r="H94" s="321"/>
      <c r="I94" s="321"/>
      <c r="J94" s="238">
        <f>L94+N94+P94</f>
        <v>0</v>
      </c>
      <c r="K94" s="238"/>
      <c r="L94" s="255">
        <v>0</v>
      </c>
      <c r="M94" s="255"/>
      <c r="N94" s="255">
        <v>0</v>
      </c>
      <c r="O94" s="255"/>
      <c r="P94" s="255">
        <v>0</v>
      </c>
      <c r="Q94" s="255"/>
      <c r="R94" s="33"/>
    </row>
    <row r="95" spans="1:24" ht="15.75" thickBot="1" x14ac:dyDescent="0.3">
      <c r="A95" s="9"/>
      <c r="B95" s="11" t="s">
        <v>232</v>
      </c>
      <c r="C95" s="243" t="s">
        <v>233</v>
      </c>
      <c r="D95" s="244"/>
      <c r="E95" s="244"/>
      <c r="F95" s="244"/>
      <c r="G95" s="244"/>
      <c r="H95" s="244"/>
      <c r="I95" s="245"/>
      <c r="J95" s="236">
        <f>SUM(J93:J94)</f>
        <v>0</v>
      </c>
      <c r="K95" s="237"/>
      <c r="L95" s="236">
        <f>SUM(L93:L94)</f>
        <v>0</v>
      </c>
      <c r="M95" s="237"/>
      <c r="N95" s="236">
        <f>SUM(N93:N94)</f>
        <v>0</v>
      </c>
      <c r="O95" s="237"/>
      <c r="P95" s="236">
        <f>SUM(P93:P94)</f>
        <v>0</v>
      </c>
      <c r="Q95" s="237"/>
      <c r="R95" s="9"/>
    </row>
    <row r="96" spans="1:24" ht="15" customHeight="1" x14ac:dyDescent="0.25">
      <c r="A96" s="9"/>
      <c r="B96" s="207" t="s">
        <v>237</v>
      </c>
      <c r="C96" s="258" t="s">
        <v>234</v>
      </c>
      <c r="D96" s="258"/>
      <c r="E96" s="258"/>
      <c r="F96" s="258"/>
      <c r="G96" s="258"/>
      <c r="H96" s="264">
        <f>IF(J92+J95=0,0,J96/(J92+J95))</f>
        <v>0</v>
      </c>
      <c r="I96" s="265"/>
      <c r="J96" s="257">
        <v>0</v>
      </c>
      <c r="K96" s="257"/>
      <c r="L96" s="241">
        <f>(L92+L95)*$H$96</f>
        <v>0</v>
      </c>
      <c r="M96" s="241"/>
      <c r="N96" s="241">
        <f>(N92+N95)*$H$96</f>
        <v>0</v>
      </c>
      <c r="O96" s="241"/>
      <c r="P96" s="241">
        <f>(P92+P95)*$H$96</f>
        <v>0</v>
      </c>
      <c r="Q96" s="241"/>
      <c r="R96" s="9"/>
      <c r="V96" s="168"/>
    </row>
    <row r="97" spans="1:22" x14ac:dyDescent="0.25">
      <c r="A97" s="9"/>
      <c r="B97" s="207" t="s">
        <v>237</v>
      </c>
      <c r="C97" s="254" t="s">
        <v>235</v>
      </c>
      <c r="D97" s="254"/>
      <c r="E97" s="254"/>
      <c r="F97" s="254"/>
      <c r="G97" s="254"/>
      <c r="H97" s="254"/>
      <c r="I97" s="254"/>
      <c r="J97" s="255">
        <v>0</v>
      </c>
      <c r="K97" s="255"/>
      <c r="L97" s="238">
        <f>+J97*L87</f>
        <v>0</v>
      </c>
      <c r="M97" s="238"/>
      <c r="N97" s="238">
        <f>+J97*N87</f>
        <v>0</v>
      </c>
      <c r="O97" s="238"/>
      <c r="P97" s="238">
        <f>+J97*P87</f>
        <v>0</v>
      </c>
      <c r="Q97" s="238"/>
      <c r="R97" s="9"/>
    </row>
    <row r="98" spans="1:22" ht="15.75" thickBot="1" x14ac:dyDescent="0.3">
      <c r="A98" s="9"/>
      <c r="B98" s="207" t="s">
        <v>237</v>
      </c>
      <c r="C98" s="259" t="s">
        <v>236</v>
      </c>
      <c r="D98" s="259"/>
      <c r="E98" s="259"/>
      <c r="F98" s="259"/>
      <c r="G98" s="259"/>
      <c r="H98" s="259"/>
      <c r="I98" s="259"/>
      <c r="J98" s="263">
        <v>0</v>
      </c>
      <c r="K98" s="263"/>
      <c r="L98" s="240">
        <f>+J98*L87</f>
        <v>0</v>
      </c>
      <c r="M98" s="240"/>
      <c r="N98" s="240">
        <f>+J98*N87</f>
        <v>0</v>
      </c>
      <c r="O98" s="240"/>
      <c r="P98" s="240">
        <f>+J98*P87</f>
        <v>0</v>
      </c>
      <c r="Q98" s="240"/>
      <c r="R98" s="9"/>
    </row>
    <row r="99" spans="1:22" ht="15.75" thickBot="1" x14ac:dyDescent="0.3">
      <c r="A99" s="9"/>
      <c r="B99" s="11" t="s">
        <v>237</v>
      </c>
      <c r="C99" s="243" t="s">
        <v>238</v>
      </c>
      <c r="D99" s="244"/>
      <c r="E99" s="244"/>
      <c r="F99" s="244"/>
      <c r="G99" s="244"/>
      <c r="H99" s="244"/>
      <c r="I99" s="245"/>
      <c r="J99" s="236">
        <f>SUM(L99:Q99)</f>
        <v>0</v>
      </c>
      <c r="K99" s="237"/>
      <c r="L99" s="236">
        <f>SUM(L96:L98)</f>
        <v>0</v>
      </c>
      <c r="M99" s="237"/>
      <c r="N99" s="236">
        <f>SUM(N96:N98)</f>
        <v>0</v>
      </c>
      <c r="O99" s="237"/>
      <c r="P99" s="236">
        <f>SUM(P96:P98)</f>
        <v>0</v>
      </c>
      <c r="Q99" s="237"/>
      <c r="R99" s="9"/>
      <c r="U99" s="168"/>
    </row>
    <row r="100" spans="1:22" ht="15" customHeight="1" x14ac:dyDescent="0.25">
      <c r="A100" s="9"/>
      <c r="B100" s="207" t="s">
        <v>351</v>
      </c>
      <c r="C100" s="258" t="s">
        <v>239</v>
      </c>
      <c r="D100" s="258"/>
      <c r="E100" s="258"/>
      <c r="F100" s="258"/>
      <c r="G100" s="258"/>
      <c r="H100" s="258"/>
      <c r="I100" s="258"/>
      <c r="J100" s="257">
        <v>0</v>
      </c>
      <c r="K100" s="257"/>
      <c r="L100" s="241">
        <f>+J100*L87</f>
        <v>0</v>
      </c>
      <c r="M100" s="241"/>
      <c r="N100" s="241">
        <f>+J100*N87</f>
        <v>0</v>
      </c>
      <c r="O100" s="241"/>
      <c r="P100" s="241">
        <f>+J100*P87</f>
        <v>0</v>
      </c>
      <c r="Q100" s="241"/>
      <c r="R100" s="9"/>
    </row>
    <row r="101" spans="1:22" ht="15.75" thickBot="1" x14ac:dyDescent="0.3">
      <c r="A101" s="9"/>
      <c r="B101" s="207" t="s">
        <v>351</v>
      </c>
      <c r="C101" s="259" t="s">
        <v>240</v>
      </c>
      <c r="D101" s="259"/>
      <c r="E101" s="259"/>
      <c r="F101" s="259"/>
      <c r="G101" s="259"/>
      <c r="H101" s="259"/>
      <c r="I101" s="259"/>
      <c r="J101" s="255">
        <v>0</v>
      </c>
      <c r="K101" s="255"/>
      <c r="L101" s="238">
        <f>+J101*L87</f>
        <v>0</v>
      </c>
      <c r="M101" s="238"/>
      <c r="N101" s="238">
        <f>+J101*N87</f>
        <v>0</v>
      </c>
      <c r="O101" s="238"/>
      <c r="P101" s="238">
        <f>+J101*P87</f>
        <v>0</v>
      </c>
      <c r="Q101" s="238"/>
      <c r="R101" s="9"/>
    </row>
    <row r="102" spans="1:22" ht="15.75" thickBot="1" x14ac:dyDescent="0.3">
      <c r="A102" s="9"/>
      <c r="B102" s="11" t="s">
        <v>241</v>
      </c>
      <c r="C102" s="243" t="s">
        <v>242</v>
      </c>
      <c r="D102" s="244"/>
      <c r="E102" s="244"/>
      <c r="F102" s="244"/>
      <c r="G102" s="244"/>
      <c r="H102" s="244"/>
      <c r="I102" s="245"/>
      <c r="J102" s="236">
        <f>SUM(L102:Q102)</f>
        <v>0</v>
      </c>
      <c r="K102" s="237"/>
      <c r="L102" s="236">
        <f>SUM(L100:L101)</f>
        <v>0</v>
      </c>
      <c r="M102" s="237"/>
      <c r="N102" s="236">
        <f>SUM(N100:N101)</f>
        <v>0</v>
      </c>
      <c r="O102" s="237"/>
      <c r="P102" s="236">
        <f>SUM(P100:P101)</f>
        <v>0</v>
      </c>
      <c r="Q102" s="237"/>
      <c r="R102" s="9"/>
      <c r="V102" s="168"/>
    </row>
    <row r="103" spans="1:22" x14ac:dyDescent="0.25">
      <c r="A103" s="9"/>
      <c r="B103" s="207" t="s">
        <v>247</v>
      </c>
      <c r="C103" s="258" t="s">
        <v>243</v>
      </c>
      <c r="D103" s="258"/>
      <c r="E103" s="258"/>
      <c r="F103" s="258"/>
      <c r="G103" s="258"/>
      <c r="H103" s="258"/>
      <c r="I103" s="258"/>
      <c r="J103" s="257">
        <v>0</v>
      </c>
      <c r="K103" s="257"/>
      <c r="L103" s="241">
        <f>+J103*L87</f>
        <v>0</v>
      </c>
      <c r="M103" s="241"/>
      <c r="N103" s="241">
        <f>+J103*N87</f>
        <v>0</v>
      </c>
      <c r="O103" s="241"/>
      <c r="P103" s="241">
        <f>J103*P87</f>
        <v>0</v>
      </c>
      <c r="Q103" s="241"/>
      <c r="R103" s="9"/>
    </row>
    <row r="104" spans="1:22" x14ac:dyDescent="0.25">
      <c r="A104" s="9"/>
      <c r="B104" s="207" t="s">
        <v>247</v>
      </c>
      <c r="C104" s="254" t="s">
        <v>244</v>
      </c>
      <c r="D104" s="254"/>
      <c r="E104" s="254"/>
      <c r="F104" s="254"/>
      <c r="G104" s="254"/>
      <c r="H104" s="254"/>
      <c r="I104" s="254"/>
      <c r="J104" s="257">
        <v>0</v>
      </c>
      <c r="K104" s="257"/>
      <c r="L104" s="240">
        <f>+$J$104*L87</f>
        <v>0</v>
      </c>
      <c r="M104" s="240"/>
      <c r="N104" s="240">
        <f>J104*N87</f>
        <v>0</v>
      </c>
      <c r="O104" s="240"/>
      <c r="P104" s="240">
        <f>J104*P87</f>
        <v>0</v>
      </c>
      <c r="Q104" s="240"/>
      <c r="R104" s="9"/>
    </row>
    <row r="105" spans="1:22" x14ac:dyDescent="0.25">
      <c r="A105" s="9"/>
      <c r="B105" s="207" t="s">
        <v>247</v>
      </c>
      <c r="C105" s="254" t="s">
        <v>245</v>
      </c>
      <c r="D105" s="254"/>
      <c r="E105" s="254"/>
      <c r="F105" s="254"/>
      <c r="G105" s="254"/>
      <c r="H105" s="254"/>
      <c r="I105" s="254"/>
      <c r="J105" s="257">
        <v>0</v>
      </c>
      <c r="K105" s="257"/>
      <c r="L105" s="240">
        <f>+J105*L87</f>
        <v>0</v>
      </c>
      <c r="M105" s="240"/>
      <c r="N105" s="240">
        <f>+J105*N87</f>
        <v>0</v>
      </c>
      <c r="O105" s="240"/>
      <c r="P105" s="240">
        <f>J105*P87</f>
        <v>0</v>
      </c>
      <c r="Q105" s="240"/>
      <c r="R105" s="9"/>
    </row>
    <row r="106" spans="1:22" ht="15.75" thickBot="1" x14ac:dyDescent="0.3">
      <c r="A106" s="9"/>
      <c r="B106" s="207" t="s">
        <v>247</v>
      </c>
      <c r="C106" s="259" t="s">
        <v>246</v>
      </c>
      <c r="D106" s="259"/>
      <c r="E106" s="259"/>
      <c r="F106" s="259"/>
      <c r="G106" s="259"/>
      <c r="H106" s="259"/>
      <c r="I106" s="259"/>
      <c r="J106" s="257">
        <v>0</v>
      </c>
      <c r="K106" s="257"/>
      <c r="L106" s="238">
        <f>+J106*L87</f>
        <v>0</v>
      </c>
      <c r="M106" s="238"/>
      <c r="N106" s="238">
        <f>+J106*N87</f>
        <v>0</v>
      </c>
      <c r="O106" s="238"/>
      <c r="P106" s="238">
        <f>+J106*P87</f>
        <v>0</v>
      </c>
      <c r="Q106" s="238"/>
      <c r="R106" s="9"/>
    </row>
    <row r="107" spans="1:22" ht="15.75" thickBot="1" x14ac:dyDescent="0.3">
      <c r="A107" s="9"/>
      <c r="B107" s="11" t="s">
        <v>247</v>
      </c>
      <c r="C107" s="243" t="s">
        <v>248</v>
      </c>
      <c r="D107" s="244"/>
      <c r="E107" s="244"/>
      <c r="F107" s="244"/>
      <c r="G107" s="244"/>
      <c r="H107" s="244"/>
      <c r="I107" s="245"/>
      <c r="J107" s="236">
        <f>SUM(L107:Q107)</f>
        <v>0</v>
      </c>
      <c r="K107" s="237"/>
      <c r="L107" s="236">
        <f>SUM(L103:L106)</f>
        <v>0</v>
      </c>
      <c r="M107" s="237"/>
      <c r="N107" s="236">
        <f>SUM(N103:N106)</f>
        <v>0</v>
      </c>
      <c r="O107" s="237"/>
      <c r="P107" s="236">
        <f>SUM(P103:P106)</f>
        <v>0</v>
      </c>
      <c r="Q107" s="237"/>
      <c r="R107" s="9"/>
    </row>
    <row r="108" spans="1:22" x14ac:dyDescent="0.25">
      <c r="A108" s="9"/>
      <c r="B108" s="207" t="s">
        <v>253</v>
      </c>
      <c r="C108" s="258" t="s">
        <v>249</v>
      </c>
      <c r="D108" s="258"/>
      <c r="E108" s="258"/>
      <c r="F108" s="258"/>
      <c r="G108" s="258"/>
      <c r="H108" s="258"/>
      <c r="I108" s="258"/>
      <c r="J108" s="241">
        <f>L108+N108+P108</f>
        <v>0</v>
      </c>
      <c r="K108" s="241"/>
      <c r="L108" s="241">
        <f>(L92+L95+L96)*0.25</f>
        <v>0</v>
      </c>
      <c r="M108" s="241"/>
      <c r="N108" s="241">
        <f>(N92+N95+N96)*0.25</f>
        <v>0</v>
      </c>
      <c r="O108" s="241"/>
      <c r="P108" s="241">
        <f>(P92+P95+P96)*0.25</f>
        <v>0</v>
      </c>
      <c r="Q108" s="241"/>
      <c r="R108" s="9"/>
    </row>
    <row r="109" spans="1:22" x14ac:dyDescent="0.25">
      <c r="A109" s="9"/>
      <c r="B109" s="207" t="s">
        <v>253</v>
      </c>
      <c r="C109" s="254" t="s">
        <v>250</v>
      </c>
      <c r="D109" s="254"/>
      <c r="E109" s="254"/>
      <c r="F109" s="254"/>
      <c r="G109" s="254"/>
      <c r="H109" s="254"/>
      <c r="I109" s="254"/>
      <c r="J109" s="241">
        <f>L109+N109+P109</f>
        <v>0</v>
      </c>
      <c r="K109" s="241"/>
      <c r="L109" s="240">
        <f>L97*0.25</f>
        <v>0</v>
      </c>
      <c r="M109" s="240"/>
      <c r="N109" s="240">
        <f>N97*0.25</f>
        <v>0</v>
      </c>
      <c r="O109" s="240"/>
      <c r="P109" s="240">
        <f>P97*0.25</f>
        <v>0</v>
      </c>
      <c r="Q109" s="240"/>
      <c r="R109" s="9"/>
    </row>
    <row r="110" spans="1:22" x14ac:dyDescent="0.25">
      <c r="A110" s="9"/>
      <c r="B110" s="207" t="s">
        <v>253</v>
      </c>
      <c r="C110" s="254" t="s">
        <v>251</v>
      </c>
      <c r="D110" s="254"/>
      <c r="E110" s="254"/>
      <c r="F110" s="254"/>
      <c r="G110" s="254"/>
      <c r="H110" s="254"/>
      <c r="I110" s="254"/>
      <c r="J110" s="241">
        <f>L110+N110+P110</f>
        <v>0</v>
      </c>
      <c r="K110" s="241"/>
      <c r="L110" s="240">
        <f>+L103*0.25</f>
        <v>0</v>
      </c>
      <c r="M110" s="240"/>
      <c r="N110" s="240">
        <f>+N103*0.25</f>
        <v>0</v>
      </c>
      <c r="O110" s="240"/>
      <c r="P110" s="240">
        <f>+P103*0.25</f>
        <v>0</v>
      </c>
      <c r="Q110" s="240"/>
      <c r="R110" s="9"/>
      <c r="T110" s="169"/>
    </row>
    <row r="111" spans="1:22" ht="15.75" thickBot="1" x14ac:dyDescent="0.3">
      <c r="A111" s="9"/>
      <c r="B111" s="207" t="s">
        <v>253</v>
      </c>
      <c r="C111" s="259" t="s">
        <v>252</v>
      </c>
      <c r="D111" s="259"/>
      <c r="E111" s="259"/>
      <c r="F111" s="259"/>
      <c r="G111" s="259"/>
      <c r="H111" s="259"/>
      <c r="I111" s="259"/>
      <c r="J111" s="241">
        <f>L111+N111+P111</f>
        <v>0</v>
      </c>
      <c r="K111" s="241"/>
      <c r="L111" s="238">
        <f>0.25*L106</f>
        <v>0</v>
      </c>
      <c r="M111" s="238"/>
      <c r="N111" s="238">
        <f>0.25*N106</f>
        <v>0</v>
      </c>
      <c r="O111" s="238"/>
      <c r="P111" s="238">
        <f>0.25*P106</f>
        <v>0</v>
      </c>
      <c r="Q111" s="238"/>
      <c r="R111" s="9"/>
      <c r="T111" s="169"/>
    </row>
    <row r="112" spans="1:22" ht="15.75" thickBot="1" x14ac:dyDescent="0.3">
      <c r="A112" s="9"/>
      <c r="B112" s="11" t="s">
        <v>253</v>
      </c>
      <c r="C112" s="243" t="s">
        <v>254</v>
      </c>
      <c r="D112" s="244"/>
      <c r="E112" s="244"/>
      <c r="F112" s="244"/>
      <c r="G112" s="244"/>
      <c r="H112" s="244"/>
      <c r="I112" s="245"/>
      <c r="J112" s="236">
        <f>SUM(L112:Q112)</f>
        <v>0</v>
      </c>
      <c r="K112" s="237"/>
      <c r="L112" s="236">
        <f>SUM(L108:L111)</f>
        <v>0</v>
      </c>
      <c r="M112" s="237"/>
      <c r="N112" s="236">
        <f>SUM(N108:N111)</f>
        <v>0</v>
      </c>
      <c r="O112" s="237"/>
      <c r="P112" s="236">
        <f>SUM(P108:P111)</f>
        <v>0</v>
      </c>
      <c r="Q112" s="237"/>
      <c r="R112" s="9"/>
    </row>
    <row r="113" spans="1:20" x14ac:dyDescent="0.25">
      <c r="A113" s="9"/>
      <c r="B113" s="464"/>
      <c r="C113" s="464"/>
      <c r="D113" s="464"/>
      <c r="E113" s="464"/>
      <c r="F113" s="464"/>
      <c r="G113" s="464"/>
      <c r="H113" s="464"/>
      <c r="I113" s="464"/>
      <c r="J113" s="464"/>
      <c r="K113" s="464"/>
      <c r="L113" s="464"/>
      <c r="M113" s="464"/>
      <c r="N113" s="464"/>
      <c r="O113" s="464"/>
      <c r="P113" s="464"/>
      <c r="Q113" s="464"/>
      <c r="R113" s="9"/>
    </row>
    <row r="114" spans="1:20" x14ac:dyDescent="0.25">
      <c r="A114" s="9"/>
      <c r="B114" s="247" t="s">
        <v>352</v>
      </c>
      <c r="C114" s="247"/>
      <c r="D114" s="247"/>
      <c r="E114" s="247"/>
      <c r="F114" s="247"/>
      <c r="G114" s="247"/>
      <c r="H114" s="247"/>
      <c r="I114" s="247"/>
      <c r="J114" s="233">
        <f>L114+N114</f>
        <v>0</v>
      </c>
      <c r="K114" s="233"/>
      <c r="L114" s="233">
        <f>L92+L95+L99+L102+L107+L112</f>
        <v>0</v>
      </c>
      <c r="M114" s="233"/>
      <c r="N114" s="233">
        <f>N92+N95+N99+N102+N107+N112</f>
        <v>0</v>
      </c>
      <c r="O114" s="233"/>
      <c r="P114" s="234"/>
      <c r="Q114" s="234"/>
      <c r="R114" s="9"/>
    </row>
    <row r="115" spans="1:20" x14ac:dyDescent="0.25">
      <c r="A115" s="9"/>
      <c r="B115" s="248" t="s">
        <v>356</v>
      </c>
      <c r="C115" s="248"/>
      <c r="D115" s="248"/>
      <c r="E115" s="248"/>
      <c r="F115" s="248"/>
      <c r="G115" s="248"/>
      <c r="H115" s="248"/>
      <c r="I115" s="248"/>
      <c r="J115" s="234"/>
      <c r="K115" s="234"/>
      <c r="L115" s="234"/>
      <c r="M115" s="234"/>
      <c r="N115" s="234"/>
      <c r="O115" s="234"/>
      <c r="P115" s="239">
        <f>P92+P95+P99+P102+P107+P112</f>
        <v>0</v>
      </c>
      <c r="Q115" s="239"/>
      <c r="R115" s="9"/>
      <c r="T115" s="169"/>
    </row>
    <row r="116" spans="1:20" ht="15.75" thickBot="1" x14ac:dyDescent="0.3">
      <c r="A116" s="9"/>
      <c r="B116" s="242" t="s">
        <v>255</v>
      </c>
      <c r="C116" s="242"/>
      <c r="D116" s="242"/>
      <c r="E116" s="242"/>
      <c r="F116" s="242"/>
      <c r="G116" s="242"/>
      <c r="H116" s="242"/>
      <c r="I116" s="242"/>
      <c r="J116" s="235">
        <f>L116+N116</f>
        <v>0</v>
      </c>
      <c r="K116" s="235"/>
      <c r="L116" s="235">
        <f>L52</f>
        <v>0</v>
      </c>
      <c r="M116" s="235"/>
      <c r="N116" s="249">
        <f>L53</f>
        <v>0</v>
      </c>
      <c r="O116" s="249"/>
      <c r="P116" s="234"/>
      <c r="Q116" s="234"/>
      <c r="R116" s="9"/>
    </row>
    <row r="117" spans="1:20" ht="15.75" thickBot="1" x14ac:dyDescent="0.3">
      <c r="A117" s="9"/>
      <c r="B117" s="246" t="s">
        <v>353</v>
      </c>
      <c r="C117" s="246"/>
      <c r="D117" s="246"/>
      <c r="E117" s="246"/>
      <c r="F117" s="246"/>
      <c r="G117" s="246"/>
      <c r="H117" s="246"/>
      <c r="I117" s="246"/>
      <c r="J117" s="250">
        <f>L117+N117</f>
        <v>0</v>
      </c>
      <c r="K117" s="250"/>
      <c r="L117" s="250">
        <f t="shared" ref="L117" si="1">L114-L116</f>
        <v>0</v>
      </c>
      <c r="M117" s="251"/>
      <c r="N117" s="252">
        <f t="shared" ref="N117" si="2">N114-N116</f>
        <v>0</v>
      </c>
      <c r="O117" s="253"/>
      <c r="P117" s="234"/>
      <c r="Q117" s="234"/>
      <c r="R117" s="9"/>
    </row>
    <row r="118" spans="1:20" x14ac:dyDescent="0.25">
      <c r="A118" s="9"/>
      <c r="B118" s="61"/>
      <c r="C118" s="214" t="s">
        <v>359</v>
      </c>
      <c r="D118" s="61"/>
      <c r="E118" s="61"/>
      <c r="F118" s="61"/>
      <c r="G118" s="61"/>
      <c r="H118" s="61"/>
      <c r="I118" s="61"/>
      <c r="J118" s="62"/>
      <c r="K118" s="62"/>
      <c r="L118" s="323" t="s">
        <v>256</v>
      </c>
      <c r="M118" s="323"/>
      <c r="N118" s="324"/>
      <c r="O118" s="324"/>
      <c r="P118" s="322">
        <v>0</v>
      </c>
      <c r="Q118" s="322"/>
      <c r="R118" s="9"/>
    </row>
    <row r="119" spans="1:20" ht="15" customHeight="1" x14ac:dyDescent="0.25">
      <c r="A119" s="9"/>
      <c r="B119" s="9"/>
      <c r="C119" s="228" t="s">
        <v>273</v>
      </c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</row>
  </sheetData>
  <sheetProtection sheet="1" objects="1" scenarios="1" selectLockedCells="1"/>
  <mergeCells count="391">
    <mergeCell ref="B53:Q53"/>
    <mergeCell ref="B55:L55"/>
    <mergeCell ref="C71:G71"/>
    <mergeCell ref="B48:K48"/>
    <mergeCell ref="L48:Q48"/>
    <mergeCell ref="B49:K49"/>
    <mergeCell ref="L49:Q49"/>
    <mergeCell ref="B47:K47"/>
    <mergeCell ref="L47:Q47"/>
    <mergeCell ref="B50:K50"/>
    <mergeCell ref="L50:Q50"/>
    <mergeCell ref="B54:L54"/>
    <mergeCell ref="M54:Q54"/>
    <mergeCell ref="B51:K51"/>
    <mergeCell ref="L51:Q51"/>
    <mergeCell ref="A52:R52"/>
    <mergeCell ref="N67:O67"/>
    <mergeCell ref="P67:Q67"/>
    <mergeCell ref="B57:Q57"/>
    <mergeCell ref="J68:K68"/>
    <mergeCell ref="L68:M68"/>
    <mergeCell ref="M55:Q55"/>
    <mergeCell ref="J71:K71"/>
    <mergeCell ref="L71:M71"/>
    <mergeCell ref="B32:Q32"/>
    <mergeCell ref="B34:D34"/>
    <mergeCell ref="E34:G34"/>
    <mergeCell ref="H34:J34"/>
    <mergeCell ref="K34:M34"/>
    <mergeCell ref="N34:Q34"/>
    <mergeCell ref="B39:D39"/>
    <mergeCell ref="E39:G39"/>
    <mergeCell ref="K39:M39"/>
    <mergeCell ref="N39:Q39"/>
    <mergeCell ref="F29:F30"/>
    <mergeCell ref="G29:J29"/>
    <mergeCell ref="K29:K30"/>
    <mergeCell ref="L29:O29"/>
    <mergeCell ref="P29:Q30"/>
    <mergeCell ref="B26:G26"/>
    <mergeCell ref="H26:K26"/>
    <mergeCell ref="L26:Q26"/>
    <mergeCell ref="N68:O68"/>
    <mergeCell ref="P68:Q68"/>
    <mergeCell ref="B46:Q46"/>
    <mergeCell ref="A31:R31"/>
    <mergeCell ref="B33:Q33"/>
    <mergeCell ref="B35:D35"/>
    <mergeCell ref="E35:G35"/>
    <mergeCell ref="H35:J35"/>
    <mergeCell ref="K35:M35"/>
    <mergeCell ref="N35:Q35"/>
    <mergeCell ref="B38:Q38"/>
    <mergeCell ref="B42:D42"/>
    <mergeCell ref="E42:G42"/>
    <mergeCell ref="H42:J42"/>
    <mergeCell ref="K42:M42"/>
    <mergeCell ref="N42:Q42"/>
    <mergeCell ref="A45:R45"/>
    <mergeCell ref="N37:O37"/>
    <mergeCell ref="P37:Q37"/>
    <mergeCell ref="B43:Q43"/>
    <mergeCell ref="B44:E44"/>
    <mergeCell ref="F44:G44"/>
    <mergeCell ref="H44:J44"/>
    <mergeCell ref="K44:M44"/>
    <mergeCell ref="N44:O44"/>
    <mergeCell ref="P44:Q44"/>
    <mergeCell ref="B40:D40"/>
    <mergeCell ref="E40:G40"/>
    <mergeCell ref="H40:J40"/>
    <mergeCell ref="K40:M40"/>
    <mergeCell ref="N40:Q40"/>
    <mergeCell ref="B41:Q41"/>
    <mergeCell ref="H39:J39"/>
    <mergeCell ref="K37:M37"/>
    <mergeCell ref="C15:E15"/>
    <mergeCell ref="G15:J15"/>
    <mergeCell ref="L15:M15"/>
    <mergeCell ref="O15:Q15"/>
    <mergeCell ref="B36:Q36"/>
    <mergeCell ref="B37:E37"/>
    <mergeCell ref="F37:G37"/>
    <mergeCell ref="H37:J37"/>
    <mergeCell ref="A16:R16"/>
    <mergeCell ref="B17:Q17"/>
    <mergeCell ref="A20:R20"/>
    <mergeCell ref="B21:Q21"/>
    <mergeCell ref="A24:R24"/>
    <mergeCell ref="B18:D18"/>
    <mergeCell ref="E18:K18"/>
    <mergeCell ref="L18:N18"/>
    <mergeCell ref="O18:Q18"/>
    <mergeCell ref="B19:D19"/>
    <mergeCell ref="E19:K19"/>
    <mergeCell ref="L19:N19"/>
    <mergeCell ref="B25:Q25"/>
    <mergeCell ref="A27:R27"/>
    <mergeCell ref="B28:Q28"/>
    <mergeCell ref="B29:E29"/>
    <mergeCell ref="B7:D7"/>
    <mergeCell ref="A1:R1"/>
    <mergeCell ref="A3:R3"/>
    <mergeCell ref="B4:Q4"/>
    <mergeCell ref="B2:J2"/>
    <mergeCell ref="K2:Q2"/>
    <mergeCell ref="B5:D5"/>
    <mergeCell ref="E5:Q5"/>
    <mergeCell ref="B6:D6"/>
    <mergeCell ref="E6:G6"/>
    <mergeCell ref="H6:J6"/>
    <mergeCell ref="K6:M6"/>
    <mergeCell ref="N6:O6"/>
    <mergeCell ref="P6:Q6"/>
    <mergeCell ref="E7:G7"/>
    <mergeCell ref="H7:J7"/>
    <mergeCell ref="K7:M7"/>
    <mergeCell ref="N7:O7"/>
    <mergeCell ref="P7:Q7"/>
    <mergeCell ref="N71:O71"/>
    <mergeCell ref="P71:Q71"/>
    <mergeCell ref="P69:Q69"/>
    <mergeCell ref="J70:K70"/>
    <mergeCell ref="L70:M70"/>
    <mergeCell ref="N70:O70"/>
    <mergeCell ref="P70:Q70"/>
    <mergeCell ref="A56:R56"/>
    <mergeCell ref="B58:Q58"/>
    <mergeCell ref="B59:Q61"/>
    <mergeCell ref="A62:R62"/>
    <mergeCell ref="A66:R66"/>
    <mergeCell ref="J69:K69"/>
    <mergeCell ref="L69:M69"/>
    <mergeCell ref="N69:O69"/>
    <mergeCell ref="J67:K67"/>
    <mergeCell ref="L67:M67"/>
    <mergeCell ref="C69:G69"/>
    <mergeCell ref="C70:G70"/>
    <mergeCell ref="B67:I67"/>
    <mergeCell ref="C68:G68"/>
    <mergeCell ref="J73:K73"/>
    <mergeCell ref="L73:M73"/>
    <mergeCell ref="N73:O73"/>
    <mergeCell ref="P73:Q73"/>
    <mergeCell ref="J72:K72"/>
    <mergeCell ref="L72:M72"/>
    <mergeCell ref="N72:O72"/>
    <mergeCell ref="P72:Q72"/>
    <mergeCell ref="C73:G73"/>
    <mergeCell ref="C72:G72"/>
    <mergeCell ref="J75:K75"/>
    <mergeCell ref="L75:M75"/>
    <mergeCell ref="N75:O75"/>
    <mergeCell ref="P75:Q75"/>
    <mergeCell ref="J74:K74"/>
    <mergeCell ref="L74:M74"/>
    <mergeCell ref="N74:O74"/>
    <mergeCell ref="P74:Q74"/>
    <mergeCell ref="C74:G74"/>
    <mergeCell ref="C75:G75"/>
    <mergeCell ref="J77:K77"/>
    <mergeCell ref="L77:M77"/>
    <mergeCell ref="N77:O77"/>
    <mergeCell ref="P77:Q77"/>
    <mergeCell ref="J76:K76"/>
    <mergeCell ref="L76:M76"/>
    <mergeCell ref="N76:O76"/>
    <mergeCell ref="P76:Q76"/>
    <mergeCell ref="C76:G76"/>
    <mergeCell ref="C77:G77"/>
    <mergeCell ref="J79:K79"/>
    <mergeCell ref="L79:M79"/>
    <mergeCell ref="N79:O79"/>
    <mergeCell ref="P79:Q79"/>
    <mergeCell ref="J78:K78"/>
    <mergeCell ref="L78:M78"/>
    <mergeCell ref="N78:O78"/>
    <mergeCell ref="P78:Q78"/>
    <mergeCell ref="C78:G78"/>
    <mergeCell ref="C79:G79"/>
    <mergeCell ref="J81:K81"/>
    <mergeCell ref="L81:M81"/>
    <mergeCell ref="N81:O81"/>
    <mergeCell ref="P81:Q81"/>
    <mergeCell ref="J80:K80"/>
    <mergeCell ref="L80:M80"/>
    <mergeCell ref="N80:O80"/>
    <mergeCell ref="P80:Q80"/>
    <mergeCell ref="C80:G80"/>
    <mergeCell ref="C81:G81"/>
    <mergeCell ref="J83:K83"/>
    <mergeCell ref="L83:M83"/>
    <mergeCell ref="N83:O83"/>
    <mergeCell ref="P83:Q83"/>
    <mergeCell ref="J82:K82"/>
    <mergeCell ref="L82:M82"/>
    <mergeCell ref="N82:O82"/>
    <mergeCell ref="P82:Q82"/>
    <mergeCell ref="C82:G82"/>
    <mergeCell ref="C83:G83"/>
    <mergeCell ref="J85:K85"/>
    <mergeCell ref="L85:M85"/>
    <mergeCell ref="N85:O85"/>
    <mergeCell ref="P85:Q85"/>
    <mergeCell ref="J84:K84"/>
    <mergeCell ref="L84:M84"/>
    <mergeCell ref="N84:O84"/>
    <mergeCell ref="P84:Q84"/>
    <mergeCell ref="C84:G84"/>
    <mergeCell ref="C85:G85"/>
    <mergeCell ref="L87:M87"/>
    <mergeCell ref="N87:O87"/>
    <mergeCell ref="P87:Q87"/>
    <mergeCell ref="J86:K86"/>
    <mergeCell ref="L86:M86"/>
    <mergeCell ref="N86:O86"/>
    <mergeCell ref="P86:Q86"/>
    <mergeCell ref="C86:G86"/>
    <mergeCell ref="C87:K87"/>
    <mergeCell ref="L89:M89"/>
    <mergeCell ref="N89:O89"/>
    <mergeCell ref="P89:Q89"/>
    <mergeCell ref="C88:M88"/>
    <mergeCell ref="C89:K89"/>
    <mergeCell ref="J91:K91"/>
    <mergeCell ref="L91:M91"/>
    <mergeCell ref="N91:O91"/>
    <mergeCell ref="P91:Q91"/>
    <mergeCell ref="J90:K90"/>
    <mergeCell ref="L90:M90"/>
    <mergeCell ref="N90:O90"/>
    <mergeCell ref="P90:Q90"/>
    <mergeCell ref="C90:I90"/>
    <mergeCell ref="C91:I91"/>
    <mergeCell ref="J92:K92"/>
    <mergeCell ref="L92:M92"/>
    <mergeCell ref="N92:O92"/>
    <mergeCell ref="P92:Q92"/>
    <mergeCell ref="J93:K93"/>
    <mergeCell ref="L93:M93"/>
    <mergeCell ref="N93:O93"/>
    <mergeCell ref="P93:Q93"/>
    <mergeCell ref="C92:I92"/>
    <mergeCell ref="C93:G93"/>
    <mergeCell ref="H93:I93"/>
    <mergeCell ref="C94:I94"/>
    <mergeCell ref="J94:K94"/>
    <mergeCell ref="L94:M94"/>
    <mergeCell ref="N94:O94"/>
    <mergeCell ref="P94:Q94"/>
    <mergeCell ref="C95:I95"/>
    <mergeCell ref="J95:K95"/>
    <mergeCell ref="L95:M95"/>
    <mergeCell ref="N95:O95"/>
    <mergeCell ref="P95:Q95"/>
    <mergeCell ref="J96:K96"/>
    <mergeCell ref="L96:M96"/>
    <mergeCell ref="N96:O96"/>
    <mergeCell ref="P96:Q96"/>
    <mergeCell ref="J97:K97"/>
    <mergeCell ref="L97:M97"/>
    <mergeCell ref="N97:O97"/>
    <mergeCell ref="P97:Q97"/>
    <mergeCell ref="C96:G96"/>
    <mergeCell ref="H96:I96"/>
    <mergeCell ref="C97:I97"/>
    <mergeCell ref="C98:I98"/>
    <mergeCell ref="J98:K98"/>
    <mergeCell ref="L98:M98"/>
    <mergeCell ref="N98:O98"/>
    <mergeCell ref="P98:Q98"/>
    <mergeCell ref="C99:I99"/>
    <mergeCell ref="J99:K99"/>
    <mergeCell ref="L99:M99"/>
    <mergeCell ref="N99:O99"/>
    <mergeCell ref="P99:Q99"/>
    <mergeCell ref="J100:K100"/>
    <mergeCell ref="L100:M100"/>
    <mergeCell ref="N100:O100"/>
    <mergeCell ref="P100:Q100"/>
    <mergeCell ref="J101:K101"/>
    <mergeCell ref="L101:M101"/>
    <mergeCell ref="N101:O101"/>
    <mergeCell ref="P101:Q101"/>
    <mergeCell ref="C100:I100"/>
    <mergeCell ref="C101:I101"/>
    <mergeCell ref="C102:I102"/>
    <mergeCell ref="J102:K102"/>
    <mergeCell ref="L102:M102"/>
    <mergeCell ref="N102:O102"/>
    <mergeCell ref="P102:Q102"/>
    <mergeCell ref="J103:K103"/>
    <mergeCell ref="L103:M103"/>
    <mergeCell ref="N103:O103"/>
    <mergeCell ref="P103:Q103"/>
    <mergeCell ref="C103:I103"/>
    <mergeCell ref="C104:I104"/>
    <mergeCell ref="J104:K104"/>
    <mergeCell ref="L104:M104"/>
    <mergeCell ref="N104:O104"/>
    <mergeCell ref="P104:Q104"/>
    <mergeCell ref="C105:I105"/>
    <mergeCell ref="J105:K105"/>
    <mergeCell ref="L105:M105"/>
    <mergeCell ref="N105:O105"/>
    <mergeCell ref="P105:Q105"/>
    <mergeCell ref="C106:I106"/>
    <mergeCell ref="J106:K106"/>
    <mergeCell ref="L106:M106"/>
    <mergeCell ref="N106:O106"/>
    <mergeCell ref="P106:Q106"/>
    <mergeCell ref="C107:I107"/>
    <mergeCell ref="J107:K107"/>
    <mergeCell ref="L107:M107"/>
    <mergeCell ref="N107:O107"/>
    <mergeCell ref="P107:Q107"/>
    <mergeCell ref="C108:I108"/>
    <mergeCell ref="J108:K108"/>
    <mergeCell ref="L108:M108"/>
    <mergeCell ref="N108:O108"/>
    <mergeCell ref="P108:Q108"/>
    <mergeCell ref="J109:K109"/>
    <mergeCell ref="L109:M109"/>
    <mergeCell ref="N109:O109"/>
    <mergeCell ref="P109:Q109"/>
    <mergeCell ref="C109:I109"/>
    <mergeCell ref="N111:O111"/>
    <mergeCell ref="L118:O118"/>
    <mergeCell ref="P118:Q118"/>
    <mergeCell ref="B114:I114"/>
    <mergeCell ref="B115:I115"/>
    <mergeCell ref="J116:K116"/>
    <mergeCell ref="P116:Q116"/>
    <mergeCell ref="B116:I116"/>
    <mergeCell ref="J115:O115"/>
    <mergeCell ref="P115:Q115"/>
    <mergeCell ref="L116:M116"/>
    <mergeCell ref="N116:O116"/>
    <mergeCell ref="J114:K114"/>
    <mergeCell ref="L114:M114"/>
    <mergeCell ref="N114:O114"/>
    <mergeCell ref="P114:Q114"/>
    <mergeCell ref="P111:Q111"/>
    <mergeCell ref="J14:L14"/>
    <mergeCell ref="B23:D23"/>
    <mergeCell ref="E23:K23"/>
    <mergeCell ref="L23:N23"/>
    <mergeCell ref="O23:Q23"/>
    <mergeCell ref="B117:I117"/>
    <mergeCell ref="J117:K117"/>
    <mergeCell ref="L117:M117"/>
    <mergeCell ref="N117:O117"/>
    <mergeCell ref="P117:Q117"/>
    <mergeCell ref="C112:I112"/>
    <mergeCell ref="J112:K112"/>
    <mergeCell ref="L112:M112"/>
    <mergeCell ref="N112:O112"/>
    <mergeCell ref="P112:Q112"/>
    <mergeCell ref="B113:Q113"/>
    <mergeCell ref="C110:I110"/>
    <mergeCell ref="J110:K110"/>
    <mergeCell ref="L110:M110"/>
    <mergeCell ref="N110:O110"/>
    <mergeCell ref="P110:Q110"/>
    <mergeCell ref="C111:I111"/>
    <mergeCell ref="J111:K111"/>
    <mergeCell ref="L111:M111"/>
    <mergeCell ref="O14:Q14"/>
    <mergeCell ref="M14:N14"/>
    <mergeCell ref="C119:R119"/>
    <mergeCell ref="O19:Q19"/>
    <mergeCell ref="B22:D22"/>
    <mergeCell ref="E22:K22"/>
    <mergeCell ref="L22:N22"/>
    <mergeCell ref="O22:Q22"/>
    <mergeCell ref="B8:Q8"/>
    <mergeCell ref="B9:Q9"/>
    <mergeCell ref="B10:D10"/>
    <mergeCell ref="E10:K10"/>
    <mergeCell ref="L10:N10"/>
    <mergeCell ref="O10:Q10"/>
    <mergeCell ref="B11:D11"/>
    <mergeCell ref="E11:K11"/>
    <mergeCell ref="L11:N11"/>
    <mergeCell ref="O11:Q11"/>
    <mergeCell ref="B12:D12"/>
    <mergeCell ref="E12:K12"/>
    <mergeCell ref="L12:N12"/>
    <mergeCell ref="O12:Q12"/>
    <mergeCell ref="B13:Q13"/>
    <mergeCell ref="C14:H14"/>
  </mergeCells>
  <phoneticPr fontId="13" type="noConversion"/>
  <conditionalFormatting sqref="B14">
    <cfRule type="expression" dxfId="87" priority="18">
      <formula>$B$15="Ja"</formula>
    </cfRule>
  </conditionalFormatting>
  <conditionalFormatting sqref="B14:B15">
    <cfRule type="expression" dxfId="86" priority="5">
      <formula>$F$15="Ja"</formula>
    </cfRule>
  </conditionalFormatting>
  <conditionalFormatting sqref="B15">
    <cfRule type="expression" dxfId="85" priority="12">
      <formula>$B$14="Ja"</formula>
    </cfRule>
  </conditionalFormatting>
  <conditionalFormatting sqref="C93:Q93 L94">
    <cfRule type="expression" dxfId="84" priority="3">
      <formula>$B$14="Ja"</formula>
    </cfRule>
  </conditionalFormatting>
  <conditionalFormatting sqref="C93:Q93 L94:M94">
    <cfRule type="expression" dxfId="83" priority="2">
      <formula>$B$15="Ja"</formula>
    </cfRule>
  </conditionalFormatting>
  <conditionalFormatting sqref="F15">
    <cfRule type="expression" dxfId="82" priority="11">
      <formula>$B$14="Ja"</formula>
    </cfRule>
    <cfRule type="expression" dxfId="81" priority="17">
      <formula>$B$15="Ja"</formula>
    </cfRule>
  </conditionalFormatting>
  <conditionalFormatting sqref="H96:I96">
    <cfRule type="expression" dxfId="80" priority="22">
      <formula>$H$96&gt;15%</formula>
    </cfRule>
  </conditionalFormatting>
  <conditionalFormatting sqref="I14">
    <cfRule type="expression" dxfId="79" priority="19">
      <formula>$F$15="Ja"</formula>
    </cfRule>
    <cfRule type="expression" dxfId="78" priority="20">
      <formula>$B$15="Ja"</formula>
    </cfRule>
  </conditionalFormatting>
  <conditionalFormatting sqref="I69:I86">
    <cfRule type="expression" dxfId="77" priority="23" stopIfTrue="1">
      <formula>I69&gt;0</formula>
    </cfRule>
    <cfRule type="expression" dxfId="76" priority="24">
      <formula>I69+J69&gt;0</formula>
    </cfRule>
  </conditionalFormatting>
  <conditionalFormatting sqref="J90:K90">
    <cfRule type="expression" dxfId="75" priority="46">
      <formula>$J$90=0</formula>
    </cfRule>
    <cfRule type="expression" dxfId="74" priority="47">
      <formula>$J$69+$J$71+$J$72=0</formula>
    </cfRule>
  </conditionalFormatting>
  <conditionalFormatting sqref="J93:K93">
    <cfRule type="expression" dxfId="73" priority="48">
      <formula>$H$93&lt;10.01%</formula>
    </cfRule>
  </conditionalFormatting>
  <conditionalFormatting sqref="K15">
    <cfRule type="expression" dxfId="72" priority="7">
      <formula>$N$15="Ja"</formula>
    </cfRule>
    <cfRule type="expression" dxfId="71" priority="10">
      <formula>$B$14="Ja"</formula>
    </cfRule>
    <cfRule type="expression" dxfId="70" priority="16">
      <formula>$B$15="Ja"</formula>
    </cfRule>
  </conditionalFormatting>
  <conditionalFormatting sqref="L69:M86">
    <cfRule type="expression" dxfId="69" priority="21">
      <formula>IF(OR($B$14="Ja",$B$15="Ja"),1,0)</formula>
    </cfRule>
    <cfRule type="expression" dxfId="68" priority="36">
      <formula>$I$14="Nej"</formula>
    </cfRule>
    <cfRule type="expression" dxfId="67" priority="39">
      <formula>$B$15="Ja"</formula>
    </cfRule>
  </conditionalFormatting>
  <conditionalFormatting sqref="L94:M94">
    <cfRule type="expression" dxfId="66" priority="26">
      <formula>$I$14="Nej"</formula>
    </cfRule>
  </conditionalFormatting>
  <conditionalFormatting sqref="M14">
    <cfRule type="expression" dxfId="65" priority="4">
      <formula>$F$15="Ja"</formula>
    </cfRule>
    <cfRule type="expression" dxfId="64" priority="13">
      <formula>$I$14="Nej"</formula>
    </cfRule>
    <cfRule type="expression" dxfId="63" priority="14">
      <formula>$B$15="Ja"</formula>
    </cfRule>
  </conditionalFormatting>
  <conditionalFormatting sqref="N15">
    <cfRule type="expression" dxfId="62" priority="6">
      <formula>$K$15="Ja"</formula>
    </cfRule>
    <cfRule type="expression" dxfId="61" priority="9">
      <formula>$B$14="Ja"</formula>
    </cfRule>
    <cfRule type="expression" dxfId="60" priority="15">
      <formula>$B$15="Ja"</formula>
    </cfRule>
  </conditionalFormatting>
  <conditionalFormatting sqref="N93:Q93">
    <cfRule type="expression" dxfId="59" priority="1">
      <formula>$F$15="Ja"</formula>
    </cfRule>
  </conditionalFormatting>
  <dataValidations count="2">
    <dataValidation allowBlank="1" showInputMessage="1" showErrorMessage="1" prompt="Formel _x000a_IKKE _x000a_slette !!!" sqref="N89 L87 P89 N87 P87 L89" xr:uid="{1757D933-05EA-43E7-ADF4-7E938FE83B7A}"/>
    <dataValidation type="list" allowBlank="1" showInputMessage="1" showErrorMessage="1" sqref="K15 I14 F15 B14:B15 N15" xr:uid="{CA44A751-4131-49D7-808E-AD5A2ADFE2C2}">
      <formula1>"Ja,Nej"</formula1>
    </dataValidation>
  </dataValidations>
  <hyperlinks>
    <hyperlink ref="C119" r:id="rId1" xr:uid="{F669D9BA-3BE9-446C-872E-A44C4A7F5687}"/>
  </hyperlinks>
  <pageMargins left="0" right="0" top="0" bottom="0" header="0" footer="0"/>
  <pageSetup paperSize="9" scale="93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4" r:id="rId5" name="Group Box 8">
              <controlPr defaultSize="0" autoFill="0" autoPict="0" altText="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6" name="Group Box 43">
              <controlPr defaultSize="0" autoFill="0" autoPict="0" altText="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>
    <tabColor rgb="FFFF0000"/>
    <pageSetUpPr fitToPage="1"/>
  </sheetPr>
  <dimension ref="A1:T1048435"/>
  <sheetViews>
    <sheetView topLeftCell="A9" zoomScale="85" zoomScaleNormal="85" workbookViewId="0">
      <selection activeCell="H3" sqref="H3"/>
    </sheetView>
  </sheetViews>
  <sheetFormatPr defaultColWidth="9.140625" defaultRowHeight="15" x14ac:dyDescent="0.25"/>
  <cols>
    <col min="1" max="1" width="1.42578125" style="153" customWidth="1"/>
    <col min="2" max="2" width="40" style="153" customWidth="1"/>
    <col min="3" max="4" width="5.7109375" style="153" customWidth="1"/>
    <col min="5" max="5" width="85.7109375" style="153" customWidth="1"/>
    <col min="6" max="9" width="16.42578125" style="153" customWidth="1"/>
    <col min="10" max="10" width="18.5703125" style="153" customWidth="1"/>
    <col min="11" max="11" width="1.42578125" style="153" customWidth="1"/>
    <col min="12" max="12" width="7.140625" style="153" customWidth="1"/>
    <col min="13" max="13" width="16.42578125" style="153" bestFit="1" customWidth="1"/>
    <col min="14" max="16" width="7.140625" style="153" customWidth="1"/>
    <col min="17" max="17" width="1.42578125" style="153" customWidth="1"/>
    <col min="18" max="18" width="9.140625" style="153"/>
    <col min="19" max="19" width="1.42578125" style="153" customWidth="1"/>
    <col min="20" max="20" width="14.28515625" style="153" customWidth="1"/>
    <col min="21" max="35" width="9.140625" style="153"/>
    <col min="36" max="36" width="1.42578125" style="153" customWidth="1"/>
    <col min="37" max="16384" width="9.140625" style="153"/>
  </cols>
  <sheetData>
    <row r="1" spans="1:20" x14ac:dyDescent="0.25">
      <c r="A1" s="409" t="s">
        <v>317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</row>
    <row r="2" spans="1:20" ht="30" customHeight="1" x14ac:dyDescent="0.25">
      <c r="A2" s="18"/>
      <c r="B2" s="22" t="s">
        <v>258</v>
      </c>
      <c r="C2" s="391" t="s">
        <v>259</v>
      </c>
      <c r="D2" s="391"/>
      <c r="E2" s="22" t="s">
        <v>260</v>
      </c>
      <c r="F2" s="23" t="s">
        <v>261</v>
      </c>
      <c r="G2" s="23" t="s">
        <v>262</v>
      </c>
      <c r="H2" s="23" t="str">
        <f>IF('Licitation - Ansøger'!F15="Ja","Godkendt vedligehold","Godkendt støttede arb.")</f>
        <v>Godkendt støttede arb.</v>
      </c>
      <c r="I2" s="23" t="str">
        <f>IF('Licitation - Ansøger'!F15="Ja","Ansøgt vedligehold","Ansøgt støttede arb.")</f>
        <v>Ansøgt støttede arb.</v>
      </c>
      <c r="J2" s="23" t="s">
        <v>355</v>
      </c>
      <c r="K2" s="18"/>
      <c r="M2" s="180" t="s">
        <v>263</v>
      </c>
    </row>
    <row r="3" spans="1:20" x14ac:dyDescent="0.25">
      <c r="A3" s="18"/>
      <c r="B3" s="7" t="s">
        <v>183</v>
      </c>
      <c r="C3" s="7" t="s">
        <v>184</v>
      </c>
      <c r="D3" s="219">
        <v>0</v>
      </c>
      <c r="E3" s="28"/>
      <c r="F3" s="35">
        <v>0</v>
      </c>
      <c r="G3" s="34">
        <f>'Licitation - Ansøger'!L69</f>
        <v>0</v>
      </c>
      <c r="H3" s="26">
        <v>0</v>
      </c>
      <c r="I3" s="20">
        <f>'Licitation - Ansøger'!N69</f>
        <v>0</v>
      </c>
      <c r="J3" s="20">
        <f>IF((G3+I3)&gt;(F3+H3),(G3+I3)-(F3+H3),0)</f>
        <v>0</v>
      </c>
      <c r="K3" s="18"/>
      <c r="M3" s="181" t="str">
        <f>IF(H3+F3&gt;G3+I3,"OBS!","")</f>
        <v/>
      </c>
    </row>
    <row r="4" spans="1:20" x14ac:dyDescent="0.25">
      <c r="A4" s="18"/>
      <c r="B4" s="7" t="s">
        <v>186</v>
      </c>
      <c r="C4" s="7" t="s">
        <v>184</v>
      </c>
      <c r="D4" s="219">
        <v>0</v>
      </c>
      <c r="E4" s="28"/>
      <c r="F4" s="35">
        <v>0</v>
      </c>
      <c r="G4" s="34">
        <f>'Licitation - Ansøger'!L70</f>
        <v>0</v>
      </c>
      <c r="H4" s="26">
        <v>0</v>
      </c>
      <c r="I4" s="20">
        <f>'Licitation - Ansøger'!N70</f>
        <v>0</v>
      </c>
      <c r="J4" s="20">
        <f t="shared" ref="J4:J21" si="0">IF((G4+I4)&gt;(F4+H4),(G4+I4)-(F4+H4),0)</f>
        <v>0</v>
      </c>
      <c r="K4" s="18"/>
      <c r="M4" s="181" t="str">
        <f t="shared" ref="M4:M34" si="1">IF(H4+F4&gt;G4+I4,"OBS!","")</f>
        <v/>
      </c>
    </row>
    <row r="5" spans="1:20" x14ac:dyDescent="0.25">
      <c r="A5" s="18"/>
      <c r="B5" s="7" t="s">
        <v>188</v>
      </c>
      <c r="C5" s="7" t="s">
        <v>184</v>
      </c>
      <c r="D5" s="219">
        <v>0</v>
      </c>
      <c r="E5" s="28"/>
      <c r="F5" s="35">
        <v>0</v>
      </c>
      <c r="G5" s="34">
        <f>'Licitation - Ansøger'!L71</f>
        <v>0</v>
      </c>
      <c r="H5" s="26">
        <v>0</v>
      </c>
      <c r="I5" s="20">
        <f>'Licitation - Ansøger'!N71</f>
        <v>0</v>
      </c>
      <c r="J5" s="20">
        <f t="shared" si="0"/>
        <v>0</v>
      </c>
      <c r="K5" s="18"/>
      <c r="M5" s="181" t="str">
        <f t="shared" si="1"/>
        <v/>
      </c>
    </row>
    <row r="6" spans="1:20" x14ac:dyDescent="0.25">
      <c r="A6" s="18"/>
      <c r="B6" s="7" t="s">
        <v>190</v>
      </c>
      <c r="C6" s="7" t="s">
        <v>191</v>
      </c>
      <c r="D6" s="219">
        <v>0</v>
      </c>
      <c r="E6" s="28"/>
      <c r="F6" s="35">
        <v>0</v>
      </c>
      <c r="G6" s="34">
        <f>'Licitation - Ansøger'!L72</f>
        <v>0</v>
      </c>
      <c r="H6" s="26">
        <v>0</v>
      </c>
      <c r="I6" s="20">
        <f>'Licitation - Ansøger'!N72</f>
        <v>0</v>
      </c>
      <c r="J6" s="20">
        <f t="shared" si="0"/>
        <v>0</v>
      </c>
      <c r="K6" s="18"/>
      <c r="M6" s="181" t="str">
        <f t="shared" si="1"/>
        <v/>
      </c>
    </row>
    <row r="7" spans="1:20" x14ac:dyDescent="0.25">
      <c r="A7" s="18"/>
      <c r="B7" s="7" t="s">
        <v>193</v>
      </c>
      <c r="C7" s="7" t="s">
        <v>191</v>
      </c>
      <c r="D7" s="219">
        <v>0</v>
      </c>
      <c r="E7" s="28"/>
      <c r="F7" s="35">
        <v>0</v>
      </c>
      <c r="G7" s="34">
        <f>'Licitation - Ansøger'!L73</f>
        <v>0</v>
      </c>
      <c r="H7" s="26">
        <v>0</v>
      </c>
      <c r="I7" s="20">
        <f>'Licitation - Ansøger'!N73</f>
        <v>0</v>
      </c>
      <c r="J7" s="20">
        <f t="shared" si="0"/>
        <v>0</v>
      </c>
      <c r="K7" s="18"/>
      <c r="M7" s="181" t="str">
        <f t="shared" si="1"/>
        <v/>
      </c>
    </row>
    <row r="8" spans="1:20" x14ac:dyDescent="0.25">
      <c r="A8" s="18"/>
      <c r="B8" s="7" t="s">
        <v>195</v>
      </c>
      <c r="C8" s="7" t="s">
        <v>191</v>
      </c>
      <c r="D8" s="219">
        <v>0</v>
      </c>
      <c r="E8" s="28"/>
      <c r="F8" s="35">
        <v>0</v>
      </c>
      <c r="G8" s="34">
        <f>'Licitation - Ansøger'!L74</f>
        <v>0</v>
      </c>
      <c r="H8" s="26">
        <v>0</v>
      </c>
      <c r="I8" s="20">
        <f>'Licitation - Ansøger'!N74</f>
        <v>0</v>
      </c>
      <c r="J8" s="20">
        <f t="shared" si="0"/>
        <v>0</v>
      </c>
      <c r="K8" s="18"/>
      <c r="M8" s="181" t="str">
        <f t="shared" si="1"/>
        <v/>
      </c>
    </row>
    <row r="9" spans="1:20" x14ac:dyDescent="0.25">
      <c r="A9" s="18"/>
      <c r="B9" s="7" t="s">
        <v>197</v>
      </c>
      <c r="C9" s="7" t="s">
        <v>191</v>
      </c>
      <c r="D9" s="219">
        <v>0</v>
      </c>
      <c r="E9" s="28"/>
      <c r="F9" s="35">
        <v>0</v>
      </c>
      <c r="G9" s="34">
        <f>'Licitation - Ansøger'!L75</f>
        <v>0</v>
      </c>
      <c r="H9" s="26">
        <v>0</v>
      </c>
      <c r="I9" s="20">
        <f>'Licitation - Ansøger'!N75</f>
        <v>0</v>
      </c>
      <c r="J9" s="20">
        <f t="shared" si="0"/>
        <v>0</v>
      </c>
      <c r="K9" s="18"/>
      <c r="M9" s="181" t="str">
        <f t="shared" si="1"/>
        <v/>
      </c>
    </row>
    <row r="10" spans="1:20" x14ac:dyDescent="0.25">
      <c r="A10" s="18"/>
      <c r="B10" s="7" t="s">
        <v>199</v>
      </c>
      <c r="C10" s="7" t="s">
        <v>200</v>
      </c>
      <c r="D10" s="219">
        <v>0</v>
      </c>
      <c r="E10" s="28"/>
      <c r="F10" s="35">
        <v>0</v>
      </c>
      <c r="G10" s="34">
        <f>'Licitation - Ansøger'!L76</f>
        <v>0</v>
      </c>
      <c r="H10" s="26">
        <v>0</v>
      </c>
      <c r="I10" s="20">
        <f>'Licitation - Ansøger'!N76</f>
        <v>0</v>
      </c>
      <c r="J10" s="20">
        <f t="shared" si="0"/>
        <v>0</v>
      </c>
      <c r="K10" s="18"/>
      <c r="M10" s="181" t="str">
        <f t="shared" si="1"/>
        <v/>
      </c>
    </row>
    <row r="11" spans="1:20" x14ac:dyDescent="0.25">
      <c r="A11" s="18"/>
      <c r="B11" s="7" t="s">
        <v>202</v>
      </c>
      <c r="C11" s="7" t="s">
        <v>191</v>
      </c>
      <c r="D11" s="220" t="s">
        <v>264</v>
      </c>
      <c r="E11" s="28"/>
      <c r="F11" s="35">
        <v>0</v>
      </c>
      <c r="G11" s="34">
        <f>'Licitation - Ansøger'!L77</f>
        <v>0</v>
      </c>
      <c r="H11" s="26">
        <v>0</v>
      </c>
      <c r="I11" s="20">
        <f>'Licitation - Ansøger'!N77</f>
        <v>0</v>
      </c>
      <c r="J11" s="20">
        <f t="shared" si="0"/>
        <v>0</v>
      </c>
      <c r="K11" s="18"/>
      <c r="M11" s="181" t="str">
        <f t="shared" si="1"/>
        <v/>
      </c>
    </row>
    <row r="12" spans="1:20" x14ac:dyDescent="0.25">
      <c r="A12" s="18"/>
      <c r="B12" s="7" t="s">
        <v>204</v>
      </c>
      <c r="C12" s="7" t="s">
        <v>191</v>
      </c>
      <c r="D12" s="219">
        <v>0</v>
      </c>
      <c r="E12" s="28"/>
      <c r="F12" s="35">
        <v>0</v>
      </c>
      <c r="G12" s="34">
        <f>'Licitation - Ansøger'!L78</f>
        <v>0</v>
      </c>
      <c r="H12" s="26">
        <v>0</v>
      </c>
      <c r="I12" s="20">
        <f>'Licitation - Ansøger'!N78</f>
        <v>0</v>
      </c>
      <c r="J12" s="20">
        <f t="shared" si="0"/>
        <v>0</v>
      </c>
      <c r="K12" s="18"/>
      <c r="M12" s="181" t="str">
        <f t="shared" si="1"/>
        <v/>
      </c>
    </row>
    <row r="13" spans="1:20" x14ac:dyDescent="0.25">
      <c r="A13" s="18"/>
      <c r="B13" s="7" t="s">
        <v>206</v>
      </c>
      <c r="C13" s="7" t="s">
        <v>207</v>
      </c>
      <c r="D13" s="219">
        <v>0</v>
      </c>
      <c r="E13" s="28"/>
      <c r="F13" s="35">
        <v>0</v>
      </c>
      <c r="G13" s="34">
        <f>'Licitation - Ansøger'!L79</f>
        <v>0</v>
      </c>
      <c r="H13" s="26">
        <v>0</v>
      </c>
      <c r="I13" s="20">
        <f>'Licitation - Ansøger'!N79</f>
        <v>0</v>
      </c>
      <c r="J13" s="20">
        <f t="shared" si="0"/>
        <v>0</v>
      </c>
      <c r="K13" s="18"/>
      <c r="M13" s="181" t="str">
        <f t="shared" si="1"/>
        <v/>
      </c>
    </row>
    <row r="14" spans="1:20" x14ac:dyDescent="0.25">
      <c r="A14" s="18"/>
      <c r="B14" s="7" t="s">
        <v>209</v>
      </c>
      <c r="C14" s="7" t="s">
        <v>207</v>
      </c>
      <c r="D14" s="219">
        <v>0</v>
      </c>
      <c r="E14" s="28"/>
      <c r="F14" s="35">
        <v>0</v>
      </c>
      <c r="G14" s="34">
        <f>'Licitation - Ansøger'!L80</f>
        <v>0</v>
      </c>
      <c r="H14" s="26">
        <v>0</v>
      </c>
      <c r="I14" s="20">
        <f>'Licitation - Ansøger'!N80</f>
        <v>0</v>
      </c>
      <c r="J14" s="20">
        <f t="shared" si="0"/>
        <v>0</v>
      </c>
      <c r="K14" s="18"/>
      <c r="M14" s="181" t="str">
        <f t="shared" si="1"/>
        <v/>
      </c>
    </row>
    <row r="15" spans="1:20" x14ac:dyDescent="0.25">
      <c r="A15" s="18"/>
      <c r="B15" s="7" t="s">
        <v>211</v>
      </c>
      <c r="C15" s="7" t="s">
        <v>191</v>
      </c>
      <c r="D15" s="219">
        <v>0</v>
      </c>
      <c r="E15" s="28"/>
      <c r="F15" s="35">
        <v>0</v>
      </c>
      <c r="G15" s="34">
        <f>'Licitation - Ansøger'!L81</f>
        <v>0</v>
      </c>
      <c r="H15" s="26">
        <v>0</v>
      </c>
      <c r="I15" s="20">
        <f>'Licitation - Ansøger'!N81</f>
        <v>0</v>
      </c>
      <c r="J15" s="20">
        <f t="shared" si="0"/>
        <v>0</v>
      </c>
      <c r="K15" s="18"/>
      <c r="M15" s="181" t="str">
        <f t="shared" si="1"/>
        <v/>
      </c>
      <c r="T15" s="222"/>
    </row>
    <row r="16" spans="1:20" x14ac:dyDescent="0.25">
      <c r="A16" s="18"/>
      <c r="B16" s="7" t="s">
        <v>213</v>
      </c>
      <c r="C16" s="7" t="s">
        <v>207</v>
      </c>
      <c r="D16" s="219">
        <v>0</v>
      </c>
      <c r="E16" s="28"/>
      <c r="F16" s="35">
        <v>0</v>
      </c>
      <c r="G16" s="34">
        <f>'Licitation - Ansøger'!L82</f>
        <v>0</v>
      </c>
      <c r="H16" s="26">
        <v>0</v>
      </c>
      <c r="I16" s="20">
        <f>'Licitation - Ansøger'!N82</f>
        <v>0</v>
      </c>
      <c r="J16" s="20">
        <f t="shared" si="0"/>
        <v>0</v>
      </c>
      <c r="K16" s="18"/>
      <c r="M16" s="181" t="str">
        <f t="shared" si="1"/>
        <v/>
      </c>
    </row>
    <row r="17" spans="1:13" x14ac:dyDescent="0.25">
      <c r="A17" s="18"/>
      <c r="B17" s="7" t="s">
        <v>215</v>
      </c>
      <c r="C17" s="7" t="s">
        <v>207</v>
      </c>
      <c r="D17" s="219">
        <v>0</v>
      </c>
      <c r="E17" s="28"/>
      <c r="F17" s="35">
        <v>0</v>
      </c>
      <c r="G17" s="34">
        <f>'Licitation - Ansøger'!L83</f>
        <v>0</v>
      </c>
      <c r="H17" s="26">
        <v>0</v>
      </c>
      <c r="I17" s="20">
        <f>'Licitation - Ansøger'!N83</f>
        <v>0</v>
      </c>
      <c r="J17" s="20">
        <f t="shared" si="0"/>
        <v>0</v>
      </c>
      <c r="K17" s="18"/>
      <c r="M17" s="181" t="str">
        <f t="shared" si="1"/>
        <v/>
      </c>
    </row>
    <row r="18" spans="1:13" x14ac:dyDescent="0.25">
      <c r="A18" s="18"/>
      <c r="B18" s="7" t="s">
        <v>217</v>
      </c>
      <c r="C18" s="7" t="s">
        <v>207</v>
      </c>
      <c r="D18" s="219">
        <v>0</v>
      </c>
      <c r="E18" s="28"/>
      <c r="F18" s="35">
        <v>0</v>
      </c>
      <c r="G18" s="34">
        <f>'Licitation - Ansøger'!L84</f>
        <v>0</v>
      </c>
      <c r="H18" s="26">
        <v>0</v>
      </c>
      <c r="I18" s="20">
        <f>'Licitation - Ansøger'!N84</f>
        <v>0</v>
      </c>
      <c r="J18" s="20">
        <f t="shared" si="0"/>
        <v>0</v>
      </c>
      <c r="K18" s="18"/>
      <c r="M18" s="181" t="str">
        <f t="shared" si="1"/>
        <v/>
      </c>
    </row>
    <row r="19" spans="1:13" x14ac:dyDescent="0.25">
      <c r="A19" s="18"/>
      <c r="B19" s="7" t="s">
        <v>219</v>
      </c>
      <c r="C19" s="7" t="s">
        <v>207</v>
      </c>
      <c r="D19" s="219">
        <v>0</v>
      </c>
      <c r="E19" s="28"/>
      <c r="F19" s="35">
        <v>0</v>
      </c>
      <c r="G19" s="34">
        <f>'Licitation - Ansøger'!L85</f>
        <v>0</v>
      </c>
      <c r="H19" s="26">
        <v>0</v>
      </c>
      <c r="I19" s="20">
        <f>'Licitation - Ansøger'!N85</f>
        <v>0</v>
      </c>
      <c r="J19" s="20">
        <f t="shared" si="0"/>
        <v>0</v>
      </c>
      <c r="K19" s="18"/>
      <c r="M19" s="181" t="str">
        <f t="shared" si="1"/>
        <v/>
      </c>
    </row>
    <row r="20" spans="1:13" x14ac:dyDescent="0.25">
      <c r="A20" s="18"/>
      <c r="B20" s="7" t="s">
        <v>221</v>
      </c>
      <c r="C20" s="7" t="s">
        <v>200</v>
      </c>
      <c r="D20" s="219">
        <v>0</v>
      </c>
      <c r="E20" s="28"/>
      <c r="F20" s="35">
        <v>0</v>
      </c>
      <c r="G20" s="34">
        <f>'Licitation - Ansøger'!L86</f>
        <v>0</v>
      </c>
      <c r="H20" s="26">
        <v>0</v>
      </c>
      <c r="I20" s="20">
        <f>'Licitation - Ansøger'!N86</f>
        <v>0</v>
      </c>
      <c r="J20" s="40">
        <f t="shared" si="0"/>
        <v>0</v>
      </c>
      <c r="K20" s="18"/>
      <c r="M20" s="181" t="str">
        <f t="shared" si="1"/>
        <v/>
      </c>
    </row>
    <row r="21" spans="1:13" x14ac:dyDescent="0.25">
      <c r="A21" s="18"/>
      <c r="B21" s="260" t="s">
        <v>265</v>
      </c>
      <c r="C21" s="261"/>
      <c r="D21" s="262"/>
      <c r="E21" s="36"/>
      <c r="F21" s="35">
        <v>0</v>
      </c>
      <c r="G21" s="34">
        <f>'Licitation - Ansøger'!L94</f>
        <v>0</v>
      </c>
      <c r="H21" s="26">
        <v>0</v>
      </c>
      <c r="I21" s="20">
        <f>'Licitation - Ansøger'!N94</f>
        <v>0</v>
      </c>
      <c r="J21" s="20">
        <f t="shared" si="0"/>
        <v>0</v>
      </c>
      <c r="K21" s="19"/>
      <c r="L21" s="175"/>
      <c r="M21" s="182" t="str">
        <f t="shared" si="1"/>
        <v/>
      </c>
    </row>
    <row r="22" spans="1:13" ht="30" x14ac:dyDescent="0.25">
      <c r="A22" s="18"/>
      <c r="B22" s="392" t="s">
        <v>266</v>
      </c>
      <c r="C22" s="393"/>
      <c r="D22" s="393"/>
      <c r="E22" s="22" t="s">
        <v>260</v>
      </c>
      <c r="F22" s="130"/>
      <c r="G22" s="130"/>
      <c r="H22" s="41" t="s">
        <v>267</v>
      </c>
      <c r="I22" s="41" t="s">
        <v>268</v>
      </c>
      <c r="J22" s="42" t="s">
        <v>355</v>
      </c>
      <c r="K22" s="18"/>
      <c r="M22" s="183"/>
    </row>
    <row r="23" spans="1:13" x14ac:dyDescent="0.25">
      <c r="A23" s="18"/>
      <c r="B23" s="254" t="s">
        <v>226</v>
      </c>
      <c r="C23" s="254"/>
      <c r="D23" s="21"/>
      <c r="E23" s="28"/>
      <c r="F23" s="130"/>
      <c r="G23" s="130"/>
      <c r="H23" s="35">
        <v>0</v>
      </c>
      <c r="I23" s="20">
        <f>'Licitation - Ansøger'!J90</f>
        <v>0</v>
      </c>
      <c r="J23" s="20">
        <f t="shared" ref="J23:J24" si="2">IF(H23-I23&gt;0,0,I23-H23)</f>
        <v>0</v>
      </c>
      <c r="K23" s="19"/>
      <c r="L23" s="175"/>
      <c r="M23" s="184" t="str">
        <f t="shared" si="1"/>
        <v/>
      </c>
    </row>
    <row r="24" spans="1:13" x14ac:dyDescent="0.25">
      <c r="A24" s="18"/>
      <c r="B24" s="254" t="s">
        <v>228</v>
      </c>
      <c r="C24" s="254"/>
      <c r="D24" s="21"/>
      <c r="E24" s="28"/>
      <c r="F24" s="130"/>
      <c r="G24" s="130"/>
      <c r="H24" s="35">
        <v>0</v>
      </c>
      <c r="I24" s="20">
        <f>'Licitation - Ansøger'!J91</f>
        <v>0</v>
      </c>
      <c r="J24" s="20">
        <f t="shared" si="2"/>
        <v>0</v>
      </c>
      <c r="K24" s="19"/>
      <c r="L24" s="175"/>
      <c r="M24" s="181" t="str">
        <f t="shared" si="1"/>
        <v/>
      </c>
    </row>
    <row r="25" spans="1:13" x14ac:dyDescent="0.25">
      <c r="A25" s="18"/>
      <c r="B25" s="7" t="str">
        <f>Ansøgning!C89</f>
        <v>Uforudsete udgifter (forbedr.)</v>
      </c>
      <c r="C25" s="38">
        <f>'Licitation - Ansøger'!H93</f>
        <v>0</v>
      </c>
      <c r="D25" s="21"/>
      <c r="E25" s="131" t="str">
        <f>IF('Licitation - Ansøger'!F15="Ja","Der kan maksimalt afsættes 10% af Punkt A til uforudsete udgifter (forbedring).","Udgifter til uforudsete udgifter er ikke støtteberettigede.")</f>
        <v>Udgifter til uforudsete udgifter er ikke støtteberettigede.</v>
      </c>
      <c r="F25" s="130"/>
      <c r="G25" s="130"/>
      <c r="H25" s="44">
        <f>IF('Licitation - Ansøger'!F15="Ja",Licitation!K27*Licitation!H28,0)</f>
        <v>0</v>
      </c>
      <c r="I25" s="20">
        <f>'Licitation - Ansøger'!J93</f>
        <v>0</v>
      </c>
      <c r="J25" s="20">
        <f>IF(H25-I25&gt;0,0,I25-H25)</f>
        <v>0</v>
      </c>
      <c r="K25" s="19"/>
      <c r="L25" s="175"/>
      <c r="M25" s="181" t="str">
        <f t="shared" si="1"/>
        <v/>
      </c>
    </row>
    <row r="26" spans="1:13" ht="15" customHeight="1" x14ac:dyDescent="0.25">
      <c r="A26" s="18"/>
      <c r="B26" s="7" t="s">
        <v>234</v>
      </c>
      <c r="C26" s="38">
        <v>0.15</v>
      </c>
      <c r="D26" s="21"/>
      <c r="E26" s="4" t="str">
        <f>IF('Licitation - Ansøger'!H96&gt;15%,"Der kan maksimalt godkendes 15% som støtteberettiget udgift.","Det ansøgte beløb " &amp;TEXT(ROUND(I26,2),"#.##0,00")&amp; " kr. kan godkendes")</f>
        <v>Det ansøgte beløb 0,00 kr. kan godkendes</v>
      </c>
      <c r="F26" s="130"/>
      <c r="G26" s="130"/>
      <c r="H26" s="44">
        <f>IF(I26=0,0,IF(I26/(Licitation!J27+Licitation!J30)&gt;15%,(Licitation!J27+Licitation!J30)*15%,I26))</f>
        <v>0</v>
      </c>
      <c r="I26" s="20">
        <f>'Licitation - Ansøger'!J96</f>
        <v>0</v>
      </c>
      <c r="J26" s="20">
        <f t="shared" ref="J26:J34" si="3">IF(H26-I26&gt;0,0,I26-H26)</f>
        <v>0</v>
      </c>
      <c r="K26" s="19"/>
      <c r="M26" s="181" t="str">
        <f t="shared" si="1"/>
        <v/>
      </c>
    </row>
    <row r="27" spans="1:13" x14ac:dyDescent="0.25">
      <c r="A27" s="18"/>
      <c r="B27" s="254" t="s">
        <v>235</v>
      </c>
      <c r="C27" s="254"/>
      <c r="D27" s="21"/>
      <c r="E27" s="37"/>
      <c r="F27" s="130"/>
      <c r="G27" s="130"/>
      <c r="H27" s="35">
        <v>0</v>
      </c>
      <c r="I27" s="20">
        <f>'Licitation - Ansøger'!J97</f>
        <v>0</v>
      </c>
      <c r="J27" s="20">
        <f t="shared" si="3"/>
        <v>0</v>
      </c>
      <c r="K27" s="19"/>
      <c r="M27" s="181" t="str">
        <f t="shared" si="1"/>
        <v/>
      </c>
    </row>
    <row r="28" spans="1:13" x14ac:dyDescent="0.25">
      <c r="A28" s="18"/>
      <c r="B28" s="254" t="s">
        <v>236</v>
      </c>
      <c r="C28" s="254"/>
      <c r="D28" s="21"/>
      <c r="E28" s="37"/>
      <c r="F28" s="130"/>
      <c r="G28" s="130"/>
      <c r="H28" s="35">
        <v>0</v>
      </c>
      <c r="I28" s="20">
        <f>'Licitation - Ansøger'!J98</f>
        <v>0</v>
      </c>
      <c r="J28" s="20">
        <f t="shared" si="3"/>
        <v>0</v>
      </c>
      <c r="K28" s="19"/>
      <c r="M28" s="181" t="str">
        <f t="shared" si="1"/>
        <v/>
      </c>
    </row>
    <row r="29" spans="1:13" x14ac:dyDescent="0.25">
      <c r="A29" s="18"/>
      <c r="B29" s="254" t="s">
        <v>239</v>
      </c>
      <c r="C29" s="254"/>
      <c r="D29" s="21"/>
      <c r="E29" s="37"/>
      <c r="F29" s="130"/>
      <c r="G29" s="130"/>
      <c r="H29" s="35">
        <v>0</v>
      </c>
      <c r="I29" s="20">
        <f>'Licitation - Ansøger'!J100</f>
        <v>0</v>
      </c>
      <c r="J29" s="20">
        <f t="shared" si="3"/>
        <v>0</v>
      </c>
      <c r="K29" s="19"/>
      <c r="M29" s="181" t="str">
        <f t="shared" si="1"/>
        <v/>
      </c>
    </row>
    <row r="30" spans="1:13" x14ac:dyDescent="0.25">
      <c r="A30" s="18"/>
      <c r="B30" s="254" t="s">
        <v>240</v>
      </c>
      <c r="C30" s="254"/>
      <c r="D30" s="21"/>
      <c r="E30" s="37"/>
      <c r="F30" s="130"/>
      <c r="G30" s="130"/>
      <c r="H30" s="35">
        <v>0</v>
      </c>
      <c r="I30" s="20">
        <f>'Licitation - Ansøger'!J101</f>
        <v>0</v>
      </c>
      <c r="J30" s="20">
        <f t="shared" si="3"/>
        <v>0</v>
      </c>
      <c r="K30" s="19"/>
      <c r="M30" s="181" t="str">
        <f t="shared" si="1"/>
        <v/>
      </c>
    </row>
    <row r="31" spans="1:13" x14ac:dyDescent="0.25">
      <c r="A31" s="18"/>
      <c r="B31" s="254" t="s">
        <v>269</v>
      </c>
      <c r="C31" s="254"/>
      <c r="D31" s="21"/>
      <c r="E31" s="28"/>
      <c r="F31" s="130"/>
      <c r="G31" s="130"/>
      <c r="H31" s="35">
        <v>0</v>
      </c>
      <c r="I31" s="20">
        <f>'Licitation - Ansøger'!J103</f>
        <v>0</v>
      </c>
      <c r="J31" s="20">
        <f t="shared" si="3"/>
        <v>0</v>
      </c>
      <c r="K31" s="19"/>
      <c r="M31" s="181" t="str">
        <f t="shared" si="1"/>
        <v/>
      </c>
    </row>
    <row r="32" spans="1:13" x14ac:dyDescent="0.25">
      <c r="A32" s="18"/>
      <c r="B32" s="254" t="s">
        <v>270</v>
      </c>
      <c r="C32" s="254"/>
      <c r="D32" s="21"/>
      <c r="E32" s="28"/>
      <c r="F32" s="130"/>
      <c r="G32" s="130"/>
      <c r="H32" s="35">
        <v>0</v>
      </c>
      <c r="I32" s="20">
        <f>'Licitation - Ansøger'!J104</f>
        <v>0</v>
      </c>
      <c r="J32" s="20">
        <f t="shared" si="3"/>
        <v>0</v>
      </c>
      <c r="K32" s="19"/>
      <c r="M32" s="181" t="str">
        <f t="shared" si="1"/>
        <v/>
      </c>
    </row>
    <row r="33" spans="1:13" x14ac:dyDescent="0.25">
      <c r="A33" s="18"/>
      <c r="B33" s="254" t="s">
        <v>245</v>
      </c>
      <c r="C33" s="254"/>
      <c r="D33" s="21"/>
      <c r="E33" s="28"/>
      <c r="F33" s="130"/>
      <c r="G33" s="130"/>
      <c r="H33" s="35">
        <v>0</v>
      </c>
      <c r="I33" s="20">
        <f>'Licitation - Ansøger'!J105</f>
        <v>0</v>
      </c>
      <c r="J33" s="20">
        <f t="shared" si="3"/>
        <v>0</v>
      </c>
      <c r="K33" s="19"/>
      <c r="M33" s="181" t="str">
        <f t="shared" si="1"/>
        <v/>
      </c>
    </row>
    <row r="34" spans="1:13" x14ac:dyDescent="0.25">
      <c r="A34" s="18"/>
      <c r="B34" s="254" t="s">
        <v>246</v>
      </c>
      <c r="C34" s="254"/>
      <c r="D34" s="21"/>
      <c r="E34" s="4" t="str">
        <f>IF(I34&gt;C48,"Der kan maksimalt godkendes "&amp;TEXT(ROUND(C48,2),"#.##0,00")&amp;" kr. som støtteberettiget udgift.","Det ansøgte beløb "&amp;TEXT(ROUND(I34+G34,2),"#.##0,00")&amp;" kr. kan godkendes")</f>
        <v>Det ansøgte beløb 0,00 kr. kan godkendes</v>
      </c>
      <c r="F34" s="130"/>
      <c r="G34" s="130"/>
      <c r="H34" s="65">
        <f>IF(I34&lt;C48,I34,C48)</f>
        <v>0</v>
      </c>
      <c r="I34" s="20">
        <f>'Licitation - Ansøger'!J106</f>
        <v>0</v>
      </c>
      <c r="J34" s="20">
        <f t="shared" si="3"/>
        <v>0</v>
      </c>
      <c r="K34" s="19"/>
      <c r="M34" s="181" t="str">
        <f t="shared" si="1"/>
        <v/>
      </c>
    </row>
    <row r="35" spans="1:13" x14ac:dyDescent="0.25">
      <c r="A35" s="18"/>
      <c r="B35" s="18"/>
      <c r="C35" s="18"/>
      <c r="D35" s="18"/>
      <c r="E35" s="64"/>
      <c r="F35" s="7" t="s">
        <v>271</v>
      </c>
      <c r="G35" s="27">
        <v>0</v>
      </c>
      <c r="H35" s="64"/>
      <c r="I35" s="64"/>
      <c r="J35" s="64"/>
      <c r="K35" s="19"/>
    </row>
    <row r="36" spans="1:13" ht="7.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9"/>
    </row>
    <row r="38" spans="1:13" ht="15.75" thickBot="1" x14ac:dyDescent="0.3">
      <c r="B38" s="386" t="s">
        <v>273</v>
      </c>
      <c r="C38" s="386"/>
      <c r="D38" s="386"/>
      <c r="E38" s="386"/>
      <c r="F38" s="378" t="s">
        <v>274</v>
      </c>
      <c r="G38" s="378"/>
      <c r="H38" s="378"/>
      <c r="I38" s="378"/>
    </row>
    <row r="39" spans="1:13" ht="15.75" customHeight="1" x14ac:dyDescent="0.25">
      <c r="B39" s="422" t="s">
        <v>275</v>
      </c>
      <c r="C39" s="423"/>
      <c r="D39" s="423"/>
      <c r="E39" s="424"/>
      <c r="F39" s="412" t="s">
        <v>318</v>
      </c>
      <c r="G39" s="395"/>
      <c r="H39" s="477" t="s">
        <v>319</v>
      </c>
      <c r="I39" s="477"/>
    </row>
    <row r="40" spans="1:13" x14ac:dyDescent="0.25">
      <c r="B40" s="397" t="s">
        <v>378</v>
      </c>
      <c r="C40" s="395"/>
      <c r="D40" s="395"/>
      <c r="E40" s="479"/>
      <c r="F40" s="412" t="s">
        <v>15</v>
      </c>
      <c r="G40" s="395"/>
      <c r="H40" s="477" t="s">
        <v>320</v>
      </c>
      <c r="I40" s="477"/>
      <c r="J40" s="185"/>
    </row>
    <row r="41" spans="1:13" x14ac:dyDescent="0.25">
      <c r="B41" s="15" t="s">
        <v>280</v>
      </c>
      <c r="C41" s="383">
        <f>Licitation!J27+Licitation!J30+Licitation!J34+Licitation!J37+Licitation!J38+Licitation!J39+Licitation!J40+Licitation!J43+Licitation!J44+Licitation!J45</f>
        <v>0</v>
      </c>
      <c r="D41" s="416"/>
      <c r="E41" s="413"/>
      <c r="F41" s="412" t="s">
        <v>321</v>
      </c>
      <c r="G41" s="395"/>
      <c r="H41" s="478" t="s">
        <v>284</v>
      </c>
      <c r="I41" s="478"/>
      <c r="J41" s="185"/>
    </row>
    <row r="42" spans="1:13" x14ac:dyDescent="0.25">
      <c r="B42" s="15" t="s">
        <v>282</v>
      </c>
      <c r="C42" s="395">
        <f>G35</f>
        <v>0</v>
      </c>
      <c r="D42" s="395"/>
      <c r="E42" s="479"/>
      <c r="F42" s="412" t="s">
        <v>11</v>
      </c>
      <c r="G42" s="395"/>
      <c r="H42" s="478" t="s">
        <v>284</v>
      </c>
      <c r="I42" s="478"/>
      <c r="J42" s="186"/>
    </row>
    <row r="43" spans="1:13" x14ac:dyDescent="0.25">
      <c r="B43" s="15" t="s">
        <v>285</v>
      </c>
      <c r="C43" s="382">
        <v>3000</v>
      </c>
      <c r="D43" s="382"/>
      <c r="E43" s="480"/>
      <c r="F43" s="412" t="s">
        <v>322</v>
      </c>
      <c r="G43" s="395"/>
      <c r="H43" s="477" t="s">
        <v>323</v>
      </c>
      <c r="I43" s="477"/>
      <c r="J43" s="186"/>
    </row>
    <row r="44" spans="1:13" x14ac:dyDescent="0.25">
      <c r="B44" s="16">
        <v>2.5000000000000001E-2</v>
      </c>
      <c r="C44" s="382">
        <f>IF(C41&gt;E50,(E50*B44),C41*B44)</f>
        <v>0</v>
      </c>
      <c r="D44" s="382"/>
      <c r="E44" s="480"/>
      <c r="F44" s="410" t="s">
        <v>324</v>
      </c>
      <c r="G44" s="412"/>
      <c r="H44" s="478" t="s">
        <v>284</v>
      </c>
      <c r="I44" s="478"/>
      <c r="J44" s="185"/>
    </row>
    <row r="45" spans="1:13" x14ac:dyDescent="0.25">
      <c r="B45" s="16">
        <v>0.02</v>
      </c>
      <c r="C45" s="384">
        <f>IF(E55&gt;0,E55*B45,0)</f>
        <v>0</v>
      </c>
      <c r="D45" s="384"/>
      <c r="E45" s="481"/>
      <c r="F45" s="412" t="s">
        <v>325</v>
      </c>
      <c r="G45" s="395"/>
      <c r="H45" s="389" t="s">
        <v>284</v>
      </c>
      <c r="I45" s="476"/>
      <c r="J45" s="186"/>
    </row>
    <row r="46" spans="1:13" ht="15.75" thickBot="1" x14ac:dyDescent="0.3">
      <c r="B46" s="16">
        <v>1.4999999999999999E-2</v>
      </c>
      <c r="C46" s="384">
        <f>IF(E56&gt;0,E56*B46,0)</f>
        <v>0</v>
      </c>
      <c r="D46" s="384"/>
      <c r="E46" s="481"/>
      <c r="F46" s="132" t="s">
        <v>326</v>
      </c>
      <c r="G46" s="133"/>
      <c r="H46" s="488" t="str">
        <f>IFERROR(EOMONTH(H45,3),"Dato for regnskab")</f>
        <v>Dato for regnskab</v>
      </c>
      <c r="I46" s="488"/>
      <c r="J46" s="187"/>
    </row>
    <row r="47" spans="1:13" x14ac:dyDescent="0.25">
      <c r="B47" s="16">
        <v>1.2999999999999999E-2</v>
      </c>
      <c r="C47" s="384">
        <f>IF(E57&gt;0,E57*B47,0)</f>
        <v>0</v>
      </c>
      <c r="D47" s="384"/>
      <c r="E47" s="481"/>
      <c r="F47"/>
      <c r="G47" s="489"/>
      <c r="H47" s="490"/>
      <c r="I47" s="491"/>
    </row>
    <row r="48" spans="1:13" x14ac:dyDescent="0.25">
      <c r="B48" s="17" t="s">
        <v>296</v>
      </c>
      <c r="C48" s="380">
        <f>C47+C46+C45+C44+C43</f>
        <v>3000</v>
      </c>
      <c r="D48" s="380"/>
      <c r="E48" s="498"/>
      <c r="F48"/>
      <c r="G48" s="492"/>
      <c r="H48" s="493"/>
      <c r="I48" s="494"/>
    </row>
    <row r="49" spans="2:9" x14ac:dyDescent="0.25">
      <c r="B49" s="15" t="s">
        <v>376</v>
      </c>
      <c r="C49" s="395">
        <v>100</v>
      </c>
      <c r="D49" s="395"/>
      <c r="E49" s="479"/>
      <c r="F49"/>
      <c r="G49" s="492"/>
      <c r="H49" s="493"/>
      <c r="I49" s="494"/>
    </row>
    <row r="50" spans="2:9" ht="15.75" thickBot="1" x14ac:dyDescent="0.3">
      <c r="B50" s="16">
        <v>2.5000000000000001E-2</v>
      </c>
      <c r="C50" s="394">
        <v>3946973</v>
      </c>
      <c r="D50" s="394"/>
      <c r="E50" s="29">
        <f>C50/C49*G35</f>
        <v>0</v>
      </c>
      <c r="F50"/>
      <c r="G50" s="495"/>
      <c r="H50" s="496"/>
      <c r="I50" s="497"/>
    </row>
    <row r="51" spans="2:9" x14ac:dyDescent="0.25">
      <c r="B51" s="16">
        <v>0.02</v>
      </c>
      <c r="C51" s="394">
        <v>19717704</v>
      </c>
      <c r="D51" s="394"/>
      <c r="E51" s="29">
        <f>C51/C49*G35</f>
        <v>0</v>
      </c>
      <c r="F51" s="117" t="s">
        <v>35</v>
      </c>
      <c r="G51" s="118"/>
      <c r="H51" s="118"/>
      <c r="I51" s="123"/>
    </row>
    <row r="52" spans="2:9" x14ac:dyDescent="0.25">
      <c r="B52" s="16">
        <v>1.4999999999999999E-2</v>
      </c>
      <c r="C52" s="394">
        <v>55181350</v>
      </c>
      <c r="D52" s="394"/>
      <c r="E52" s="29">
        <f>C52/C49*G35</f>
        <v>0</v>
      </c>
      <c r="F52" s="410" t="s">
        <v>299</v>
      </c>
      <c r="G52" s="411"/>
      <c r="H52" s="412"/>
      <c r="I52" s="119" t="str">
        <f>IF(Ansøgning!M56+Ansøgning!M57&gt;0,"Ja",IF(Ansøgning!M56+Ansøgning!M57=0,"Nej"))</f>
        <v>Nej</v>
      </c>
    </row>
    <row r="53" spans="2:9" x14ac:dyDescent="0.25">
      <c r="B53" s="16">
        <v>1.2999999999999999E-2</v>
      </c>
      <c r="C53" s="417" t="s">
        <v>300</v>
      </c>
      <c r="D53" s="417"/>
      <c r="E53" s="30">
        <f>IF(C41-E52&gt;0,C41-E52,0)</f>
        <v>0</v>
      </c>
      <c r="F53" s="410" t="s">
        <v>170</v>
      </c>
      <c r="G53" s="411"/>
      <c r="H53" s="412"/>
      <c r="I53" s="116">
        <v>0</v>
      </c>
    </row>
    <row r="54" spans="2:9" ht="15" customHeight="1" thickBot="1" x14ac:dyDescent="0.3">
      <c r="B54" s="418" t="s">
        <v>301</v>
      </c>
      <c r="C54" s="419"/>
      <c r="D54" s="419"/>
      <c r="E54" s="31">
        <f>IF(C41&gt;E50,E50,C41)</f>
        <v>0</v>
      </c>
      <c r="F54" s="425" t="s">
        <v>171</v>
      </c>
      <c r="G54" s="426"/>
      <c r="H54" s="427"/>
      <c r="I54" s="109">
        <v>0</v>
      </c>
    </row>
    <row r="55" spans="2:9" ht="15.75" thickBot="1" x14ac:dyDescent="0.3">
      <c r="B55" s="418"/>
      <c r="C55" s="419"/>
      <c r="D55" s="419"/>
      <c r="E55" s="188">
        <f>IF(C41&gt;(E50+E51),E51,(C41-E50))</f>
        <v>0</v>
      </c>
    </row>
    <row r="56" spans="2:9" x14ac:dyDescent="0.25">
      <c r="B56" s="418"/>
      <c r="C56" s="419"/>
      <c r="D56" s="419"/>
      <c r="E56" s="103">
        <f>IF(C41&gt;(E50+E51+E52),E52,(C41-(E50+E51)))</f>
        <v>0</v>
      </c>
      <c r="F56" s="120" t="s">
        <v>303</v>
      </c>
      <c r="G56" s="121"/>
      <c r="H56" s="121"/>
      <c r="I56" s="122"/>
    </row>
    <row r="57" spans="2:9" ht="15.75" thickBot="1" x14ac:dyDescent="0.3">
      <c r="B57" s="420"/>
      <c r="C57" s="421"/>
      <c r="D57" s="421"/>
      <c r="E57" s="134">
        <f>IF(C41-(E50+E51+E52)&gt;0,C41-(E50+E51+E52),0)</f>
        <v>0</v>
      </c>
      <c r="F57" s="485" t="s">
        <v>170</v>
      </c>
      <c r="G57" s="486"/>
      <c r="H57" s="487"/>
      <c r="I57" s="125">
        <v>150000</v>
      </c>
    </row>
    <row r="58" spans="2:9" ht="15.75" thickBot="1" x14ac:dyDescent="0.3">
      <c r="F58" s="482" t="s">
        <v>171</v>
      </c>
      <c r="G58" s="483"/>
      <c r="H58" s="484"/>
      <c r="I58" s="124">
        <v>60000</v>
      </c>
    </row>
    <row r="1048417" spans="6:9" x14ac:dyDescent="0.25">
      <c r="F1048417" s="172"/>
      <c r="G1048417" s="172"/>
      <c r="H1048417" s="172"/>
      <c r="I1048417" s="172"/>
    </row>
    <row r="1048435" spans="2:5" x14ac:dyDescent="0.25">
      <c r="B1048435" s="172"/>
      <c r="C1048435" s="172"/>
      <c r="D1048435" s="172"/>
      <c r="E1048435" s="172"/>
    </row>
  </sheetData>
  <sheetProtection sheet="1" selectLockedCells="1"/>
  <mergeCells count="53">
    <mergeCell ref="A1:K1"/>
    <mergeCell ref="B54:D57"/>
    <mergeCell ref="F58:H58"/>
    <mergeCell ref="F57:H57"/>
    <mergeCell ref="C53:D53"/>
    <mergeCell ref="H44:I44"/>
    <mergeCell ref="H46:I46"/>
    <mergeCell ref="G47:I50"/>
    <mergeCell ref="F44:G44"/>
    <mergeCell ref="C44:E44"/>
    <mergeCell ref="C47:E47"/>
    <mergeCell ref="C48:E48"/>
    <mergeCell ref="C50:D50"/>
    <mergeCell ref="F53:H53"/>
    <mergeCell ref="C51:D51"/>
    <mergeCell ref="F54:H54"/>
    <mergeCell ref="C52:D52"/>
    <mergeCell ref="C49:E49"/>
    <mergeCell ref="F52:H52"/>
    <mergeCell ref="B29:C29"/>
    <mergeCell ref="B30:C30"/>
    <mergeCell ref="B31:C31"/>
    <mergeCell ref="B32:C32"/>
    <mergeCell ref="B39:E39"/>
    <mergeCell ref="B40:E40"/>
    <mergeCell ref="C41:E41"/>
    <mergeCell ref="C42:E42"/>
    <mergeCell ref="C43:E43"/>
    <mergeCell ref="F41:G41"/>
    <mergeCell ref="C45:E45"/>
    <mergeCell ref="C46:E46"/>
    <mergeCell ref="F39:G39"/>
    <mergeCell ref="C2:D2"/>
    <mergeCell ref="B21:D21"/>
    <mergeCell ref="B22:D22"/>
    <mergeCell ref="B23:C23"/>
    <mergeCell ref="B24:C24"/>
    <mergeCell ref="F45:G45"/>
    <mergeCell ref="H45:I45"/>
    <mergeCell ref="B27:C27"/>
    <mergeCell ref="B28:C28"/>
    <mergeCell ref="B33:C33"/>
    <mergeCell ref="B34:C34"/>
    <mergeCell ref="F40:G40"/>
    <mergeCell ref="F42:G42"/>
    <mergeCell ref="F43:G43"/>
    <mergeCell ref="H39:I39"/>
    <mergeCell ref="H40:I40"/>
    <mergeCell ref="H41:I41"/>
    <mergeCell ref="H42:I42"/>
    <mergeCell ref="H43:I43"/>
    <mergeCell ref="B38:E38"/>
    <mergeCell ref="F38:I38"/>
  </mergeCells>
  <conditionalFormatting sqref="E55">
    <cfRule type="expression" dxfId="56" priority="7">
      <formula>E55&lt;0</formula>
    </cfRule>
  </conditionalFormatting>
  <conditionalFormatting sqref="E56">
    <cfRule type="expression" dxfId="55" priority="6">
      <formula>E56&lt;0</formula>
    </cfRule>
  </conditionalFormatting>
  <conditionalFormatting sqref="I52">
    <cfRule type="containsText" dxfId="52" priority="9" operator="containsText" text="Ja">
      <formula>NOT(ISERROR(SEARCH("Ja",I52)))</formula>
    </cfRule>
  </conditionalFormatting>
  <conditionalFormatting sqref="I53:I54">
    <cfRule type="expression" dxfId="51" priority="61">
      <formula>$I$52="Nej"</formula>
    </cfRule>
  </conditionalFormatting>
  <conditionalFormatting sqref="M3:M34">
    <cfRule type="expression" dxfId="50" priority="1">
      <formula>F3+H3&gt;G3+I3</formula>
    </cfRule>
  </conditionalFormatting>
  <hyperlinks>
    <hyperlink ref="B38" r:id="rId1" xr:uid="{FE6CAB51-0A00-4812-9488-CDCEFF968372}"/>
  </hyperlinks>
  <pageMargins left="0" right="0" top="0" bottom="0" header="0" footer="0"/>
  <pageSetup paperSize="9" scale="64" orientation="landscape" r:id="rId2"/>
  <ignoredErrors>
    <ignoredError sqref="J26" evalError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5" name="Button 1">
              <controlPr defaultSize="0" print="0" autoFill="0" autoPict="0" macro="[0]!Print_licitation">
                <anchor moveWithCells="1" sizeWithCells="1">
                  <from>
                    <xdr:col>6</xdr:col>
                    <xdr:colOff>400050</xdr:colOff>
                    <xdr:row>46</xdr:row>
                    <xdr:rowOff>161925</xdr:rowOff>
                  </from>
                  <to>
                    <xdr:col>8</xdr:col>
                    <xdr:colOff>581025</xdr:colOff>
                    <xdr:row>49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9FE65431-2576-429A-8625-654426432C4C}">
            <xm:f>IF(Ansøgning!$H$92&gt;15%,1,0)</xm:f>
            <x14:dxf>
              <numFmt numFmtId="173" formatCode="&quot;Der kan maksimalt godkendes 15%&quot;"/>
            </x14:dxf>
          </x14:cfRule>
          <xm:sqref>E26</xm:sqref>
        </x14:conditionalFormatting>
        <x14:conditionalFormatting xmlns:xm="http://schemas.microsoft.com/office/excel/2006/main">
          <x14:cfRule type="expression" priority="4" stopIfTrue="1" id="{0B87874C-F61A-4BCF-8EB9-7149E5BD5033}">
            <xm:f>IF(Ansøgning!$H$92&gt;15%,1,0)</xm:f>
            <x14:dxf>
              <numFmt numFmtId="173" formatCode="&quot;Der kan maksimalt godkendes 15%&quot;"/>
            </x14:dxf>
          </x14:cfRule>
          <xm:sqref>E34</xm:sqref>
        </x14:conditionalFormatting>
        <x14:conditionalFormatting xmlns:xm="http://schemas.microsoft.com/office/excel/2006/main">
          <x14:cfRule type="expression" priority="2" stopIfTrue="1" id="{01386B67-33C0-4BC4-AB20-EF43EACEACFC}">
            <xm:f>'Licitation - Ansøger'!$I$14="Nej"</xm:f>
            <x14:dxf>
              <fill>
                <patternFill patternType="lightUp"/>
              </fill>
            </x14:dxf>
          </x14:cfRule>
          <x14:cfRule type="expression" priority="3" stopIfTrue="1" id="{2BABA047-B1D1-4AB8-AE65-DA85E40FDCDB}">
            <xm:f>'Licitation - Ansøger'!$B$15="Ja"</xm:f>
            <x14:dxf>
              <fill>
                <patternFill patternType="lightUp"/>
              </fill>
            </x14:dxf>
          </x14:cfRule>
          <xm:sqref>F3:F21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>
    <tabColor theme="3" tint="-0.249977111117893"/>
    <pageSetUpPr fitToPage="1"/>
  </sheetPr>
  <dimension ref="A1:O1048419"/>
  <sheetViews>
    <sheetView workbookViewId="0">
      <selection sqref="A1:N1"/>
    </sheetView>
  </sheetViews>
  <sheetFormatPr defaultColWidth="9.140625" defaultRowHeight="15" x14ac:dyDescent="0.25"/>
  <cols>
    <col min="1" max="1" width="1.42578125" style="153" customWidth="1"/>
    <col min="2" max="9" width="6" style="153" customWidth="1"/>
    <col min="10" max="13" width="16.42578125" style="153" customWidth="1"/>
    <col min="14" max="14" width="1.42578125" style="153" customWidth="1"/>
    <col min="15" max="15" width="5.7109375" style="153" customWidth="1"/>
    <col min="16" max="16384" width="9.140625" style="153"/>
  </cols>
  <sheetData>
    <row r="1" spans="1:15" ht="15.75" thickBot="1" x14ac:dyDescent="0.3">
      <c r="A1" s="457" t="str">
        <f>"Samlede ombygningsudgifter - Licitation | "&amp;'Fakta ark'!F3</f>
        <v>Samlede ombygningsudgifter - Licitation | Vejnavn(e)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171"/>
    </row>
    <row r="2" spans="1:15" ht="15.75" thickBot="1" x14ac:dyDescent="0.3">
      <c r="A2" s="45"/>
      <c r="B2" s="458" t="s">
        <v>174</v>
      </c>
      <c r="C2" s="459"/>
      <c r="D2" s="459"/>
      <c r="E2" s="459"/>
      <c r="F2" s="459"/>
      <c r="G2" s="460"/>
      <c r="H2" s="458"/>
      <c r="I2" s="460"/>
      <c r="J2" s="93" t="s">
        <v>175</v>
      </c>
      <c r="K2" s="93" t="s">
        <v>176</v>
      </c>
      <c r="L2" s="78" t="s">
        <v>177</v>
      </c>
      <c r="M2" s="78" t="s">
        <v>178</v>
      </c>
      <c r="N2" s="45"/>
    </row>
    <row r="3" spans="1:15" ht="45" customHeight="1" x14ac:dyDescent="0.25">
      <c r="A3" s="45"/>
      <c r="B3" s="461" t="s">
        <v>179</v>
      </c>
      <c r="C3" s="462"/>
      <c r="D3" s="462"/>
      <c r="E3" s="462"/>
      <c r="F3" s="462"/>
      <c r="G3" s="463"/>
      <c r="H3" s="46" t="s">
        <v>180</v>
      </c>
      <c r="I3" s="46"/>
      <c r="J3" s="94" t="s">
        <v>148</v>
      </c>
      <c r="K3" s="94" t="s">
        <v>181</v>
      </c>
      <c r="L3" s="80" t="str">
        <f>IF('Licitation - Ansøger'!F15="Ja","Vedligehold","Støttede arbejder")</f>
        <v>Støttede arbejder</v>
      </c>
      <c r="M3" s="80" t="s">
        <v>354</v>
      </c>
      <c r="N3" s="45"/>
    </row>
    <row r="4" spans="1:15" x14ac:dyDescent="0.25">
      <c r="A4" s="45"/>
      <c r="B4" s="48" t="s">
        <v>182</v>
      </c>
      <c r="C4" s="442" t="s">
        <v>183</v>
      </c>
      <c r="D4" s="443"/>
      <c r="E4" s="443"/>
      <c r="F4" s="443"/>
      <c r="G4" s="444"/>
      <c r="H4" s="47" t="s">
        <v>184</v>
      </c>
      <c r="I4" s="58">
        <f>'Ændringer 1'!D3</f>
        <v>0</v>
      </c>
      <c r="J4" s="95">
        <f t="shared" ref="J4:J21" si="0">+K4+L4+M4</f>
        <v>0</v>
      </c>
      <c r="K4" s="95">
        <f>'Ændringer 1'!F3</f>
        <v>0</v>
      </c>
      <c r="L4" s="77">
        <f>'Ændringer 1'!H3</f>
        <v>0</v>
      </c>
      <c r="M4" s="77">
        <f>'Licitation - Ansøger'!P69+'Ændringer 1'!J3</f>
        <v>0</v>
      </c>
      <c r="N4" s="45"/>
    </row>
    <row r="5" spans="1:15" x14ac:dyDescent="0.25">
      <c r="A5" s="45"/>
      <c r="B5" s="48" t="s">
        <v>185</v>
      </c>
      <c r="C5" s="442" t="s">
        <v>186</v>
      </c>
      <c r="D5" s="443"/>
      <c r="E5" s="443"/>
      <c r="F5" s="443"/>
      <c r="G5" s="444"/>
      <c r="H5" s="47" t="s">
        <v>184</v>
      </c>
      <c r="I5" s="58">
        <f>'Ændringer 1'!D4</f>
        <v>0</v>
      </c>
      <c r="J5" s="95">
        <f t="shared" si="0"/>
        <v>0</v>
      </c>
      <c r="K5" s="95">
        <f>'Ændringer 1'!F4</f>
        <v>0</v>
      </c>
      <c r="L5" s="77">
        <f>'Ændringer 1'!H4</f>
        <v>0</v>
      </c>
      <c r="M5" s="77">
        <f>'Licitation - Ansøger'!P70+'Ændringer 1'!J4</f>
        <v>0</v>
      </c>
      <c r="N5" s="45"/>
    </row>
    <row r="6" spans="1:15" x14ac:dyDescent="0.25">
      <c r="A6" s="45"/>
      <c r="B6" s="48" t="s">
        <v>187</v>
      </c>
      <c r="C6" s="442" t="s">
        <v>188</v>
      </c>
      <c r="D6" s="443"/>
      <c r="E6" s="443"/>
      <c r="F6" s="443"/>
      <c r="G6" s="444"/>
      <c r="H6" s="47" t="s">
        <v>184</v>
      </c>
      <c r="I6" s="58">
        <f>'Ændringer 1'!D5</f>
        <v>0</v>
      </c>
      <c r="J6" s="95">
        <f t="shared" si="0"/>
        <v>0</v>
      </c>
      <c r="K6" s="95">
        <f>'Ændringer 1'!F5</f>
        <v>0</v>
      </c>
      <c r="L6" s="77">
        <f>'Ændringer 1'!H5</f>
        <v>0</v>
      </c>
      <c r="M6" s="77">
        <f>'Licitation - Ansøger'!P71+'Ændringer 1'!J5</f>
        <v>0</v>
      </c>
      <c r="N6" s="45"/>
    </row>
    <row r="7" spans="1:15" x14ac:dyDescent="0.25">
      <c r="A7" s="45"/>
      <c r="B7" s="48" t="s">
        <v>189</v>
      </c>
      <c r="C7" s="442" t="s">
        <v>190</v>
      </c>
      <c r="D7" s="443"/>
      <c r="E7" s="443"/>
      <c r="F7" s="443"/>
      <c r="G7" s="444"/>
      <c r="H7" s="47" t="s">
        <v>191</v>
      </c>
      <c r="I7" s="58">
        <f>'Ændringer 1'!D6</f>
        <v>0</v>
      </c>
      <c r="J7" s="95">
        <f t="shared" si="0"/>
        <v>0</v>
      </c>
      <c r="K7" s="95">
        <f>'Ændringer 1'!F6</f>
        <v>0</v>
      </c>
      <c r="L7" s="77">
        <f>'Ændringer 1'!H6</f>
        <v>0</v>
      </c>
      <c r="M7" s="77">
        <f>'Licitation - Ansøger'!P72+'Ændringer 1'!J6</f>
        <v>0</v>
      </c>
      <c r="N7" s="45"/>
    </row>
    <row r="8" spans="1:15" x14ac:dyDescent="0.25">
      <c r="A8" s="45"/>
      <c r="B8" s="48" t="s">
        <v>192</v>
      </c>
      <c r="C8" s="442" t="s">
        <v>193</v>
      </c>
      <c r="D8" s="443"/>
      <c r="E8" s="443"/>
      <c r="F8" s="443"/>
      <c r="G8" s="444"/>
      <c r="H8" s="47" t="s">
        <v>191</v>
      </c>
      <c r="I8" s="58">
        <f>'Ændringer 1'!D7</f>
        <v>0</v>
      </c>
      <c r="J8" s="95">
        <f t="shared" si="0"/>
        <v>0</v>
      </c>
      <c r="K8" s="95">
        <f>'Ændringer 1'!F7</f>
        <v>0</v>
      </c>
      <c r="L8" s="77">
        <f>'Ændringer 1'!H7</f>
        <v>0</v>
      </c>
      <c r="M8" s="77">
        <f>'Licitation - Ansøger'!P73+'Ændringer 1'!J7</f>
        <v>0</v>
      </c>
      <c r="N8" s="45"/>
    </row>
    <row r="9" spans="1:15" x14ac:dyDescent="0.25">
      <c r="A9" s="45"/>
      <c r="B9" s="48" t="s">
        <v>194</v>
      </c>
      <c r="C9" s="442" t="s">
        <v>195</v>
      </c>
      <c r="D9" s="443"/>
      <c r="E9" s="443"/>
      <c r="F9" s="443"/>
      <c r="G9" s="444"/>
      <c r="H9" s="47" t="s">
        <v>191</v>
      </c>
      <c r="I9" s="58">
        <f>'Ændringer 1'!D8</f>
        <v>0</v>
      </c>
      <c r="J9" s="95">
        <f t="shared" si="0"/>
        <v>0</v>
      </c>
      <c r="K9" s="95">
        <f>'Ændringer 1'!F8</f>
        <v>0</v>
      </c>
      <c r="L9" s="77">
        <f>'Ændringer 1'!H8</f>
        <v>0</v>
      </c>
      <c r="M9" s="77">
        <f>'Licitation - Ansøger'!P74+'Ændringer 1'!J8</f>
        <v>0</v>
      </c>
      <c r="N9" s="45"/>
    </row>
    <row r="10" spans="1:15" x14ac:dyDescent="0.25">
      <c r="A10" s="45"/>
      <c r="B10" s="48" t="s">
        <v>196</v>
      </c>
      <c r="C10" s="442" t="s">
        <v>197</v>
      </c>
      <c r="D10" s="443"/>
      <c r="E10" s="443"/>
      <c r="F10" s="443"/>
      <c r="G10" s="444"/>
      <c r="H10" s="47" t="s">
        <v>191</v>
      </c>
      <c r="I10" s="58">
        <f>'Ændringer 1'!D9</f>
        <v>0</v>
      </c>
      <c r="J10" s="95">
        <f t="shared" si="0"/>
        <v>0</v>
      </c>
      <c r="K10" s="95">
        <f>'Ændringer 1'!F9</f>
        <v>0</v>
      </c>
      <c r="L10" s="77">
        <f>'Ændringer 1'!H9</f>
        <v>0</v>
      </c>
      <c r="M10" s="77">
        <f>'Licitation - Ansøger'!P75+'Ændringer 1'!J9</f>
        <v>0</v>
      </c>
      <c r="N10" s="45"/>
    </row>
    <row r="11" spans="1:15" x14ac:dyDescent="0.25">
      <c r="A11" s="45"/>
      <c r="B11" s="48" t="s">
        <v>198</v>
      </c>
      <c r="C11" s="442" t="s">
        <v>199</v>
      </c>
      <c r="D11" s="443"/>
      <c r="E11" s="443"/>
      <c r="F11" s="443"/>
      <c r="G11" s="444"/>
      <c r="H11" s="47" t="s">
        <v>200</v>
      </c>
      <c r="I11" s="58">
        <f>'Ændringer 1'!D10</f>
        <v>0</v>
      </c>
      <c r="J11" s="95">
        <f t="shared" si="0"/>
        <v>0</v>
      </c>
      <c r="K11" s="95">
        <f>'Ændringer 1'!F10</f>
        <v>0</v>
      </c>
      <c r="L11" s="77">
        <f>'Ændringer 1'!H10</f>
        <v>0</v>
      </c>
      <c r="M11" s="77">
        <f>'Licitation - Ansøger'!P76+'Ændringer 1'!J10</f>
        <v>0</v>
      </c>
      <c r="N11" s="45"/>
    </row>
    <row r="12" spans="1:15" x14ac:dyDescent="0.25">
      <c r="A12" s="45"/>
      <c r="B12" s="48" t="s">
        <v>201</v>
      </c>
      <c r="C12" s="442" t="s">
        <v>202</v>
      </c>
      <c r="D12" s="443"/>
      <c r="E12" s="443"/>
      <c r="F12" s="443"/>
      <c r="G12" s="444"/>
      <c r="H12" s="47" t="s">
        <v>191</v>
      </c>
      <c r="I12" s="58" t="str">
        <f>'Ændringer 1'!D11</f>
        <v>0/0</v>
      </c>
      <c r="J12" s="95">
        <f t="shared" si="0"/>
        <v>0</v>
      </c>
      <c r="K12" s="95">
        <f>'Ændringer 1'!F11</f>
        <v>0</v>
      </c>
      <c r="L12" s="77">
        <f>'Ændringer 1'!H11</f>
        <v>0</v>
      </c>
      <c r="M12" s="77">
        <f>'Licitation - Ansøger'!P77+'Ændringer 1'!J11</f>
        <v>0</v>
      </c>
      <c r="N12" s="45"/>
    </row>
    <row r="13" spans="1:15" x14ac:dyDescent="0.25">
      <c r="A13" s="45"/>
      <c r="B13" s="48" t="s">
        <v>203</v>
      </c>
      <c r="C13" s="442" t="s">
        <v>204</v>
      </c>
      <c r="D13" s="443"/>
      <c r="E13" s="443"/>
      <c r="F13" s="443"/>
      <c r="G13" s="444"/>
      <c r="H13" s="47" t="s">
        <v>191</v>
      </c>
      <c r="I13" s="58">
        <f>'Ændringer 1'!D12</f>
        <v>0</v>
      </c>
      <c r="J13" s="95">
        <f t="shared" si="0"/>
        <v>0</v>
      </c>
      <c r="K13" s="95">
        <f>'Ændringer 1'!F12</f>
        <v>0</v>
      </c>
      <c r="L13" s="77">
        <f>'Ændringer 1'!H12</f>
        <v>0</v>
      </c>
      <c r="M13" s="77">
        <f>'Licitation - Ansøger'!P78+'Ændringer 1'!J12</f>
        <v>0</v>
      </c>
      <c r="N13" s="45"/>
    </row>
    <row r="14" spans="1:15" x14ac:dyDescent="0.25">
      <c r="A14" s="45"/>
      <c r="B14" s="48" t="s">
        <v>205</v>
      </c>
      <c r="C14" s="442" t="s">
        <v>206</v>
      </c>
      <c r="D14" s="443"/>
      <c r="E14" s="443"/>
      <c r="F14" s="443"/>
      <c r="G14" s="444"/>
      <c r="H14" s="47" t="s">
        <v>207</v>
      </c>
      <c r="I14" s="58">
        <f>'Ændringer 1'!D13</f>
        <v>0</v>
      </c>
      <c r="J14" s="95">
        <f t="shared" si="0"/>
        <v>0</v>
      </c>
      <c r="K14" s="95">
        <f>'Ændringer 1'!F13</f>
        <v>0</v>
      </c>
      <c r="L14" s="77">
        <f>'Ændringer 1'!H13</f>
        <v>0</v>
      </c>
      <c r="M14" s="77">
        <f>'Licitation - Ansøger'!P79+'Ændringer 1'!J13</f>
        <v>0</v>
      </c>
      <c r="N14" s="45"/>
    </row>
    <row r="15" spans="1:15" x14ac:dyDescent="0.25">
      <c r="A15" s="45"/>
      <c r="B15" s="48" t="s">
        <v>208</v>
      </c>
      <c r="C15" s="442" t="s">
        <v>209</v>
      </c>
      <c r="D15" s="443"/>
      <c r="E15" s="443"/>
      <c r="F15" s="443"/>
      <c r="G15" s="444"/>
      <c r="H15" s="47" t="s">
        <v>207</v>
      </c>
      <c r="I15" s="58">
        <f>'Ændringer 1'!D14</f>
        <v>0</v>
      </c>
      <c r="J15" s="95">
        <f t="shared" si="0"/>
        <v>0</v>
      </c>
      <c r="K15" s="95">
        <f>'Ændringer 1'!F14</f>
        <v>0</v>
      </c>
      <c r="L15" s="77">
        <f>'Ændringer 1'!H14</f>
        <v>0</v>
      </c>
      <c r="M15" s="77">
        <f>'Licitation - Ansøger'!P80+'Ændringer 1'!J14</f>
        <v>0</v>
      </c>
      <c r="N15" s="45"/>
    </row>
    <row r="16" spans="1:15" x14ac:dyDescent="0.25">
      <c r="A16" s="45"/>
      <c r="B16" s="48" t="s">
        <v>210</v>
      </c>
      <c r="C16" s="442" t="s">
        <v>211</v>
      </c>
      <c r="D16" s="443"/>
      <c r="E16" s="443"/>
      <c r="F16" s="443"/>
      <c r="G16" s="444"/>
      <c r="H16" s="47" t="s">
        <v>191</v>
      </c>
      <c r="I16" s="58">
        <f>'Ændringer 1'!D15</f>
        <v>0</v>
      </c>
      <c r="J16" s="95">
        <f t="shared" si="0"/>
        <v>0</v>
      </c>
      <c r="K16" s="95">
        <f>'Ændringer 1'!F15</f>
        <v>0</v>
      </c>
      <c r="L16" s="77">
        <f>'Ændringer 1'!H15</f>
        <v>0</v>
      </c>
      <c r="M16" s="77">
        <f>'Licitation - Ansøger'!P81+'Ændringer 1'!J15</f>
        <v>0</v>
      </c>
      <c r="N16" s="45"/>
    </row>
    <row r="17" spans="1:15" x14ac:dyDescent="0.25">
      <c r="A17" s="45"/>
      <c r="B17" s="48" t="s">
        <v>212</v>
      </c>
      <c r="C17" s="442" t="s">
        <v>213</v>
      </c>
      <c r="D17" s="443"/>
      <c r="E17" s="443"/>
      <c r="F17" s="443"/>
      <c r="G17" s="444"/>
      <c r="H17" s="47" t="s">
        <v>207</v>
      </c>
      <c r="I17" s="58">
        <f>'Ændringer 1'!D16</f>
        <v>0</v>
      </c>
      <c r="J17" s="95">
        <f t="shared" si="0"/>
        <v>0</v>
      </c>
      <c r="K17" s="95">
        <f>'Ændringer 1'!F16</f>
        <v>0</v>
      </c>
      <c r="L17" s="77">
        <f>'Ændringer 1'!H16</f>
        <v>0</v>
      </c>
      <c r="M17" s="77">
        <f>'Licitation - Ansøger'!P82+'Ændringer 1'!J16</f>
        <v>0</v>
      </c>
      <c r="N17" s="45"/>
    </row>
    <row r="18" spans="1:15" x14ac:dyDescent="0.25">
      <c r="A18" s="45"/>
      <c r="B18" s="48" t="s">
        <v>214</v>
      </c>
      <c r="C18" s="442" t="s">
        <v>215</v>
      </c>
      <c r="D18" s="443"/>
      <c r="E18" s="443"/>
      <c r="F18" s="443"/>
      <c r="G18" s="444"/>
      <c r="H18" s="47" t="s">
        <v>207</v>
      </c>
      <c r="I18" s="58">
        <f>'Ændringer 1'!D17</f>
        <v>0</v>
      </c>
      <c r="J18" s="95">
        <f t="shared" si="0"/>
        <v>0</v>
      </c>
      <c r="K18" s="95">
        <f>'Ændringer 1'!F17</f>
        <v>0</v>
      </c>
      <c r="L18" s="77">
        <f>'Ændringer 1'!H17</f>
        <v>0</v>
      </c>
      <c r="M18" s="77">
        <f>'Licitation - Ansøger'!P83+'Ændringer 1'!J17</f>
        <v>0</v>
      </c>
      <c r="N18" s="45"/>
    </row>
    <row r="19" spans="1:15" x14ac:dyDescent="0.25">
      <c r="A19" s="45"/>
      <c r="B19" s="48" t="s">
        <v>216</v>
      </c>
      <c r="C19" s="442" t="s">
        <v>217</v>
      </c>
      <c r="D19" s="443"/>
      <c r="E19" s="443"/>
      <c r="F19" s="443"/>
      <c r="G19" s="444"/>
      <c r="H19" s="47" t="s">
        <v>207</v>
      </c>
      <c r="I19" s="58">
        <f>'Ændringer 1'!D18</f>
        <v>0</v>
      </c>
      <c r="J19" s="95">
        <f t="shared" si="0"/>
        <v>0</v>
      </c>
      <c r="K19" s="95">
        <f>'Ændringer 1'!F18</f>
        <v>0</v>
      </c>
      <c r="L19" s="77">
        <f>'Ændringer 1'!H18</f>
        <v>0</v>
      </c>
      <c r="M19" s="77">
        <f>'Licitation - Ansøger'!P84+'Ændringer 1'!J18</f>
        <v>0</v>
      </c>
      <c r="N19" s="45"/>
    </row>
    <row r="20" spans="1:15" x14ac:dyDescent="0.25">
      <c r="A20" s="45"/>
      <c r="B20" s="48" t="s">
        <v>218</v>
      </c>
      <c r="C20" s="442" t="s">
        <v>219</v>
      </c>
      <c r="D20" s="443"/>
      <c r="E20" s="443"/>
      <c r="F20" s="443"/>
      <c r="G20" s="444"/>
      <c r="H20" s="47" t="s">
        <v>207</v>
      </c>
      <c r="I20" s="58">
        <f>'Ændringer 1'!D19</f>
        <v>0</v>
      </c>
      <c r="J20" s="95">
        <f t="shared" si="0"/>
        <v>0</v>
      </c>
      <c r="K20" s="95">
        <f>'Ændringer 1'!F19</f>
        <v>0</v>
      </c>
      <c r="L20" s="77">
        <f>'Ændringer 1'!H19</f>
        <v>0</v>
      </c>
      <c r="M20" s="77">
        <f>'Licitation - Ansøger'!P85+'Ændringer 1'!J19</f>
        <v>0</v>
      </c>
      <c r="N20" s="45"/>
    </row>
    <row r="21" spans="1:15" x14ac:dyDescent="0.25">
      <c r="A21" s="45"/>
      <c r="B21" s="48" t="s">
        <v>220</v>
      </c>
      <c r="C21" s="441" t="s">
        <v>221</v>
      </c>
      <c r="D21" s="441"/>
      <c r="E21" s="441"/>
      <c r="F21" s="441"/>
      <c r="G21" s="441"/>
      <c r="H21" s="49" t="s">
        <v>200</v>
      </c>
      <c r="I21" s="58">
        <f>'Ændringer 1'!D20</f>
        <v>0</v>
      </c>
      <c r="J21" s="95">
        <f t="shared" si="0"/>
        <v>0</v>
      </c>
      <c r="K21" s="95">
        <f>'Ændringer 1'!F20</f>
        <v>0</v>
      </c>
      <c r="L21" s="77">
        <f>'Ændringer 1'!H20</f>
        <v>0</v>
      </c>
      <c r="M21" s="77">
        <f>'Licitation - Ansøger'!P86+'Ændringer 1'!J20</f>
        <v>0</v>
      </c>
      <c r="N21" s="45"/>
    </row>
    <row r="22" spans="1:15" x14ac:dyDescent="0.25">
      <c r="A22" s="45"/>
      <c r="B22" s="45"/>
      <c r="C22" s="451" t="s">
        <v>222</v>
      </c>
      <c r="D22" s="451"/>
      <c r="E22" s="451"/>
      <c r="F22" s="451"/>
      <c r="G22" s="451"/>
      <c r="H22" s="451"/>
      <c r="I22" s="451"/>
      <c r="J22" s="451"/>
      <c r="K22" s="85">
        <f>IF(SUM(K4:K21)=0,0,SUM(K4:K21)/SUM($J$4:$J$21))</f>
        <v>0</v>
      </c>
      <c r="L22" s="83">
        <f>IF(SUM(L4:L21)=0,0,SUM(L4:L21)/SUM($J$4:$J$21))</f>
        <v>0</v>
      </c>
      <c r="M22" s="83">
        <f>IF(SUM(M4:M21)=0,0,SUM(M4:M21)/SUM($J$4:$J$21))</f>
        <v>0</v>
      </c>
      <c r="N22" s="45"/>
    </row>
    <row r="23" spans="1:15" x14ac:dyDescent="0.25">
      <c r="A23" s="45"/>
      <c r="B23" s="45"/>
      <c r="C23" s="451" t="s">
        <v>223</v>
      </c>
      <c r="D23" s="451"/>
      <c r="E23" s="451"/>
      <c r="F23" s="451"/>
      <c r="G23" s="451"/>
      <c r="H23" s="451"/>
      <c r="I23" s="451"/>
      <c r="J23" s="451"/>
      <c r="K23" s="451"/>
      <c r="L23" s="50"/>
      <c r="M23" s="50"/>
      <c r="N23" s="51"/>
      <c r="O23" s="218"/>
    </row>
    <row r="24" spans="1:15" x14ac:dyDescent="0.25">
      <c r="A24" s="45"/>
      <c r="B24" s="45"/>
      <c r="C24" s="455" t="s">
        <v>224</v>
      </c>
      <c r="D24" s="456"/>
      <c r="E24" s="456"/>
      <c r="F24" s="456"/>
      <c r="G24" s="456"/>
      <c r="H24" s="456"/>
      <c r="I24" s="456"/>
      <c r="J24" s="456"/>
      <c r="K24" s="85">
        <f>IF(K4+K6+K7=0,0,(K4+K6+K7)/($J$4+$J$6+$J$7))</f>
        <v>0</v>
      </c>
      <c r="L24" s="85">
        <f>IF(L4+L6+L7=0,0,(L4+L6+L7)/($J$4+$J$6+$J$7))</f>
        <v>0</v>
      </c>
      <c r="M24" s="83">
        <f>IF(M4+M6+M7=0,0,(M4+M6+M7)/($J$4+$J$6+$J$7))</f>
        <v>0</v>
      </c>
      <c r="N24" s="45"/>
    </row>
    <row r="25" spans="1:15" x14ac:dyDescent="0.25">
      <c r="A25" s="45"/>
      <c r="B25" s="48" t="s">
        <v>225</v>
      </c>
      <c r="C25" s="442" t="s">
        <v>226</v>
      </c>
      <c r="D25" s="443"/>
      <c r="E25" s="443"/>
      <c r="F25" s="443"/>
      <c r="G25" s="443"/>
      <c r="H25" s="443"/>
      <c r="I25" s="444"/>
      <c r="J25" s="82">
        <f>+K25+L25+M25</f>
        <v>0</v>
      </c>
      <c r="K25" s="82">
        <f>'Ændringer 1'!$H$23*K$24</f>
        <v>0</v>
      </c>
      <c r="L25" s="82">
        <f>'Ændringer 1'!$H$23*L$24</f>
        <v>0</v>
      </c>
      <c r="M25" s="89">
        <f>'Licitation - Ansøger'!J90-(K25+L25)</f>
        <v>0</v>
      </c>
      <c r="N25" s="45"/>
    </row>
    <row r="26" spans="1:15" ht="15.75" thickBot="1" x14ac:dyDescent="0.3">
      <c r="A26" s="45"/>
      <c r="B26" s="57" t="s">
        <v>227</v>
      </c>
      <c r="C26" s="452" t="s">
        <v>228</v>
      </c>
      <c r="D26" s="453"/>
      <c r="E26" s="453"/>
      <c r="F26" s="453"/>
      <c r="G26" s="453"/>
      <c r="H26" s="453"/>
      <c r="I26" s="454"/>
      <c r="J26" s="82">
        <f>+K26+L26+M26</f>
        <v>0</v>
      </c>
      <c r="K26" s="82">
        <f>'Ændringer 1'!$H$24*K$22</f>
        <v>0</v>
      </c>
      <c r="L26" s="82">
        <f>'Ændringer 1'!$H$24*L$22</f>
        <v>0</v>
      </c>
      <c r="M26" s="82">
        <f>'Licitation - Ansøger'!J91-(K26+L26)</f>
        <v>0</v>
      </c>
      <c r="N26" s="45"/>
    </row>
    <row r="27" spans="1:15" ht="15.75" thickBot="1" x14ac:dyDescent="0.3">
      <c r="A27" s="45"/>
      <c r="B27" s="52" t="s">
        <v>229</v>
      </c>
      <c r="C27" s="445" t="s">
        <v>230</v>
      </c>
      <c r="D27" s="446"/>
      <c r="E27" s="446"/>
      <c r="F27" s="446"/>
      <c r="G27" s="446"/>
      <c r="H27" s="446"/>
      <c r="I27" s="447"/>
      <c r="J27" s="96">
        <f>SUM(K27:M27)</f>
        <v>0</v>
      </c>
      <c r="K27" s="96">
        <f>SUM(K4:K21)+K25+K26</f>
        <v>0</v>
      </c>
      <c r="L27" s="86">
        <f>SUM(L4:L21)+L25+L26</f>
        <v>0</v>
      </c>
      <c r="M27" s="92">
        <f>SUM(M4:M21)+M25+M26</f>
        <v>0</v>
      </c>
      <c r="N27" s="45"/>
    </row>
    <row r="28" spans="1:15" x14ac:dyDescent="0.25">
      <c r="A28" s="45"/>
      <c r="B28" s="53"/>
      <c r="C28" s="448" t="s">
        <v>375</v>
      </c>
      <c r="D28" s="449"/>
      <c r="E28" s="449"/>
      <c r="F28" s="449"/>
      <c r="G28" s="449"/>
      <c r="H28" s="437">
        <f>'Licitation - Ansøger'!H93</f>
        <v>0</v>
      </c>
      <c r="I28" s="438"/>
      <c r="J28" s="97">
        <f>K28+L28+M28</f>
        <v>0</v>
      </c>
      <c r="K28" s="91">
        <f>K27*H28</f>
        <v>0</v>
      </c>
      <c r="L28" s="87">
        <f>'Licitation - Ansøger'!N93</f>
        <v>0</v>
      </c>
      <c r="M28" s="87">
        <f>'Ændringer 1'!J25</f>
        <v>0</v>
      </c>
      <c r="N28" s="54"/>
    </row>
    <row r="29" spans="1:15" ht="15.75" thickBot="1" x14ac:dyDescent="0.3">
      <c r="A29" s="45"/>
      <c r="B29" s="55"/>
      <c r="C29" s="439" t="s">
        <v>231</v>
      </c>
      <c r="D29" s="440"/>
      <c r="E29" s="440"/>
      <c r="F29" s="440"/>
      <c r="G29" s="440"/>
      <c r="H29" s="440"/>
      <c r="I29" s="440"/>
      <c r="J29" s="90">
        <f>K29+L29+M29</f>
        <v>0</v>
      </c>
      <c r="K29" s="82">
        <f>'Ændringer 1'!F21*K$22</f>
        <v>0</v>
      </c>
      <c r="L29" s="82">
        <f>'Ændringer 1'!H21*L$22</f>
        <v>0</v>
      </c>
      <c r="M29" s="82">
        <f>'Licitation - Ansøger'!J94-(K29+L29)</f>
        <v>0</v>
      </c>
      <c r="N29" s="54"/>
    </row>
    <row r="30" spans="1:15" ht="15.75" customHeight="1" thickBot="1" x14ac:dyDescent="0.3">
      <c r="A30" s="45"/>
      <c r="B30" s="52" t="s">
        <v>232</v>
      </c>
      <c r="C30" s="434" t="s">
        <v>233</v>
      </c>
      <c r="D30" s="435"/>
      <c r="E30" s="435"/>
      <c r="F30" s="435"/>
      <c r="G30" s="435"/>
      <c r="H30" s="435"/>
      <c r="I30" s="436"/>
      <c r="J30" s="96">
        <f>SUM(J28:J29)</f>
        <v>0</v>
      </c>
      <c r="K30" s="96">
        <f>SUM(K28:K29)</f>
        <v>0</v>
      </c>
      <c r="L30" s="88">
        <f>SUM(L28:L29)</f>
        <v>0</v>
      </c>
      <c r="M30" s="92">
        <f>SUM(M28:M29)</f>
        <v>0</v>
      </c>
      <c r="N30" s="45"/>
    </row>
    <row r="31" spans="1:15" x14ac:dyDescent="0.25">
      <c r="A31" s="45"/>
      <c r="B31" s="56"/>
      <c r="C31" s="433" t="s">
        <v>234</v>
      </c>
      <c r="D31" s="433"/>
      <c r="E31" s="433"/>
      <c r="F31" s="433"/>
      <c r="G31" s="433"/>
      <c r="H31" s="437">
        <f>IF(J27=0,0,J31/(J30+J27))</f>
        <v>0</v>
      </c>
      <c r="I31" s="438"/>
      <c r="J31" s="91">
        <f>+K31+L31+M31</f>
        <v>0</v>
      </c>
      <c r="K31" s="82">
        <f>'Ændringer 1'!H26*K$22</f>
        <v>0</v>
      </c>
      <c r="L31" s="82">
        <f>'Ændringer 1'!H26*L$22</f>
        <v>0</v>
      </c>
      <c r="M31" s="82">
        <f>'Licitation - Ansøger'!J96-(K31+L31)</f>
        <v>0</v>
      </c>
      <c r="N31" s="45"/>
    </row>
    <row r="32" spans="1:15" x14ac:dyDescent="0.25">
      <c r="A32" s="45"/>
      <c r="B32" s="56"/>
      <c r="C32" s="441" t="s">
        <v>235</v>
      </c>
      <c r="D32" s="441"/>
      <c r="E32" s="441"/>
      <c r="F32" s="441"/>
      <c r="G32" s="441"/>
      <c r="H32" s="441"/>
      <c r="I32" s="441"/>
      <c r="J32" s="84">
        <f>+K32+L32+M32</f>
        <v>0</v>
      </c>
      <c r="K32" s="82">
        <f>'Ændringer 1'!H27*K$22</f>
        <v>0</v>
      </c>
      <c r="L32" s="82">
        <f>'Ændringer 1'!H27*L$22</f>
        <v>0</v>
      </c>
      <c r="M32" s="82">
        <f>'Licitation - Ansøger'!J97-(K32+L32)</f>
        <v>0</v>
      </c>
      <c r="N32" s="45"/>
    </row>
    <row r="33" spans="1:14" ht="15.75" thickBot="1" x14ac:dyDescent="0.3">
      <c r="A33" s="45"/>
      <c r="B33" s="56"/>
      <c r="C33" s="432" t="s">
        <v>236</v>
      </c>
      <c r="D33" s="432"/>
      <c r="E33" s="432"/>
      <c r="F33" s="432"/>
      <c r="G33" s="432"/>
      <c r="H33" s="432"/>
      <c r="I33" s="432"/>
      <c r="J33" s="84">
        <f>+K33+L33+M33</f>
        <v>0</v>
      </c>
      <c r="K33" s="82">
        <f>'Ændringer 1'!H28*K$22</f>
        <v>0</v>
      </c>
      <c r="L33" s="82">
        <f>'Ændringer 1'!H28*L$22</f>
        <v>0</v>
      </c>
      <c r="M33" s="82">
        <f>'Licitation - Ansøger'!J98-(K33+L33)</f>
        <v>0</v>
      </c>
      <c r="N33" s="45"/>
    </row>
    <row r="34" spans="1:14" ht="15.75" thickBot="1" x14ac:dyDescent="0.3">
      <c r="A34" s="45"/>
      <c r="B34" s="52" t="s">
        <v>237</v>
      </c>
      <c r="C34" s="434" t="s">
        <v>238</v>
      </c>
      <c r="D34" s="435"/>
      <c r="E34" s="435"/>
      <c r="F34" s="435"/>
      <c r="G34" s="435"/>
      <c r="H34" s="435"/>
      <c r="I34" s="436"/>
      <c r="J34" s="96">
        <f>SUM(K34:M34)</f>
        <v>0</v>
      </c>
      <c r="K34" s="96">
        <f>SUM(K31:K33)</f>
        <v>0</v>
      </c>
      <c r="L34" s="88">
        <f>SUM(L31:L33)</f>
        <v>0</v>
      </c>
      <c r="M34" s="92">
        <f>SUM(M31:M33)</f>
        <v>0</v>
      </c>
      <c r="N34" s="45"/>
    </row>
    <row r="35" spans="1:14" x14ac:dyDescent="0.25">
      <c r="A35" s="45"/>
      <c r="B35" s="56"/>
      <c r="C35" s="433" t="s">
        <v>239</v>
      </c>
      <c r="D35" s="433"/>
      <c r="E35" s="433"/>
      <c r="F35" s="433"/>
      <c r="G35" s="433"/>
      <c r="H35" s="433"/>
      <c r="I35" s="433"/>
      <c r="J35" s="84">
        <f>+K35+L35+M35</f>
        <v>0</v>
      </c>
      <c r="K35" s="82">
        <f>'Ændringer 1'!H29*K$22</f>
        <v>0</v>
      </c>
      <c r="L35" s="82">
        <f>'Ændringer 1'!H29*L$22</f>
        <v>0</v>
      </c>
      <c r="M35" s="82">
        <f>'Licitation - Ansøger'!J100-(K35+L35)</f>
        <v>0</v>
      </c>
      <c r="N35" s="45"/>
    </row>
    <row r="36" spans="1:14" ht="15.75" thickBot="1" x14ac:dyDescent="0.3">
      <c r="A36" s="45"/>
      <c r="B36" s="56"/>
      <c r="C36" s="432" t="s">
        <v>240</v>
      </c>
      <c r="D36" s="432"/>
      <c r="E36" s="432"/>
      <c r="F36" s="432"/>
      <c r="G36" s="432"/>
      <c r="H36" s="432"/>
      <c r="I36" s="432"/>
      <c r="J36" s="84">
        <f>+K36+L36+M36</f>
        <v>0</v>
      </c>
      <c r="K36" s="82">
        <f>'Ændringer 1'!H30*K$22</f>
        <v>0</v>
      </c>
      <c r="L36" s="82">
        <f>'Ændringer 1'!H30*L$22</f>
        <v>0</v>
      </c>
      <c r="M36" s="82">
        <f>'Licitation - Ansøger'!J101-(K36+L36)</f>
        <v>0</v>
      </c>
      <c r="N36" s="45"/>
    </row>
    <row r="37" spans="1:14" ht="15.75" thickBot="1" x14ac:dyDescent="0.3">
      <c r="A37" s="45"/>
      <c r="B37" s="52" t="s">
        <v>241</v>
      </c>
      <c r="C37" s="434" t="s">
        <v>242</v>
      </c>
      <c r="D37" s="435"/>
      <c r="E37" s="435"/>
      <c r="F37" s="435"/>
      <c r="G37" s="435"/>
      <c r="H37" s="435"/>
      <c r="I37" s="436"/>
      <c r="J37" s="96">
        <f>SUM(K37:M37)</f>
        <v>0</v>
      </c>
      <c r="K37" s="96">
        <f>SUM(K35:K36)</f>
        <v>0</v>
      </c>
      <c r="L37" s="88">
        <f>SUM(L35:L36)</f>
        <v>0</v>
      </c>
      <c r="M37" s="92">
        <f>SUM(M35:M36)</f>
        <v>0</v>
      </c>
      <c r="N37" s="45"/>
    </row>
    <row r="38" spans="1:14" x14ac:dyDescent="0.25">
      <c r="A38" s="45"/>
      <c r="B38" s="56"/>
      <c r="C38" s="433" t="s">
        <v>243</v>
      </c>
      <c r="D38" s="433"/>
      <c r="E38" s="433"/>
      <c r="F38" s="433"/>
      <c r="G38" s="433"/>
      <c r="H38" s="433"/>
      <c r="I38" s="433"/>
      <c r="J38" s="84">
        <f>+K38+L38+M38</f>
        <v>0</v>
      </c>
      <c r="K38" s="82">
        <f>'Ændringer 1'!H31*K$22</f>
        <v>0</v>
      </c>
      <c r="L38" s="82">
        <f>'Ændringer 1'!H31*L$22</f>
        <v>0</v>
      </c>
      <c r="M38" s="82">
        <f>'Licitation - Ansøger'!J103-(K38+L38)</f>
        <v>0</v>
      </c>
      <c r="N38" s="45"/>
    </row>
    <row r="39" spans="1:14" x14ac:dyDescent="0.25">
      <c r="A39" s="45"/>
      <c r="B39" s="56"/>
      <c r="C39" s="441" t="s">
        <v>244</v>
      </c>
      <c r="D39" s="441"/>
      <c r="E39" s="441"/>
      <c r="F39" s="441"/>
      <c r="G39" s="441"/>
      <c r="H39" s="441"/>
      <c r="I39" s="441"/>
      <c r="J39" s="84">
        <f>+K39+L39+M39</f>
        <v>0</v>
      </c>
      <c r="K39" s="82">
        <f>'Ændringer 1'!H32*K$22</f>
        <v>0</v>
      </c>
      <c r="L39" s="82">
        <f>'Ændringer 1'!H32*L$22</f>
        <v>0</v>
      </c>
      <c r="M39" s="82">
        <f>'Licitation - Ansøger'!J104-(K39+L39)</f>
        <v>0</v>
      </c>
      <c r="N39" s="45"/>
    </row>
    <row r="40" spans="1:14" x14ac:dyDescent="0.25">
      <c r="A40" s="45"/>
      <c r="B40" s="56"/>
      <c r="C40" s="441" t="s">
        <v>245</v>
      </c>
      <c r="D40" s="441"/>
      <c r="E40" s="441"/>
      <c r="F40" s="441"/>
      <c r="G40" s="441"/>
      <c r="H40" s="441"/>
      <c r="I40" s="441"/>
      <c r="J40" s="84">
        <f>+K40+L40+M40</f>
        <v>0</v>
      </c>
      <c r="K40" s="82">
        <f>'Ændringer 1'!H33*K$22</f>
        <v>0</v>
      </c>
      <c r="L40" s="82">
        <f>'Ændringer 1'!H33*L$22</f>
        <v>0</v>
      </c>
      <c r="M40" s="82">
        <f>'Licitation - Ansøger'!J105-(K40+L40)</f>
        <v>0</v>
      </c>
      <c r="N40" s="45"/>
    </row>
    <row r="41" spans="1:14" ht="15.75" thickBot="1" x14ac:dyDescent="0.3">
      <c r="A41" s="45"/>
      <c r="B41" s="56"/>
      <c r="C41" s="432" t="s">
        <v>246</v>
      </c>
      <c r="D41" s="432"/>
      <c r="E41" s="432"/>
      <c r="F41" s="432"/>
      <c r="G41" s="432"/>
      <c r="H41" s="432"/>
      <c r="I41" s="432"/>
      <c r="J41" s="84">
        <f>+K41+L41+M41</f>
        <v>0</v>
      </c>
      <c r="K41" s="82">
        <f>'Ændringer 1'!H34*K$22</f>
        <v>0</v>
      </c>
      <c r="L41" s="82">
        <f>'Ændringer 1'!H34*L$22</f>
        <v>0</v>
      </c>
      <c r="M41" s="82">
        <f>'Licitation - Ansøger'!J106-(K41+L41)</f>
        <v>0</v>
      </c>
      <c r="N41" s="45"/>
    </row>
    <row r="42" spans="1:14" ht="15.75" thickBot="1" x14ac:dyDescent="0.3">
      <c r="A42" s="45"/>
      <c r="B42" s="52" t="s">
        <v>247</v>
      </c>
      <c r="C42" s="434" t="s">
        <v>248</v>
      </c>
      <c r="D42" s="435"/>
      <c r="E42" s="435"/>
      <c r="F42" s="435"/>
      <c r="G42" s="435"/>
      <c r="H42" s="435"/>
      <c r="I42" s="436"/>
      <c r="J42" s="96">
        <f>SUM(K42:M42)</f>
        <v>0</v>
      </c>
      <c r="K42" s="96">
        <f>SUM(K38:K41)</f>
        <v>0</v>
      </c>
      <c r="L42" s="88">
        <f>SUM(L38:L41)</f>
        <v>0</v>
      </c>
      <c r="M42" s="92">
        <f>SUM(M38:M41)</f>
        <v>0</v>
      </c>
      <c r="N42" s="45"/>
    </row>
    <row r="43" spans="1:14" ht="15" customHeight="1" x14ac:dyDescent="0.25">
      <c r="A43" s="45"/>
      <c r="B43" s="56"/>
      <c r="C43" s="433" t="s">
        <v>304</v>
      </c>
      <c r="D43" s="433"/>
      <c r="E43" s="433"/>
      <c r="F43" s="433"/>
      <c r="G43" s="433"/>
      <c r="H43" s="433"/>
      <c r="I43" s="433"/>
      <c r="J43" s="91">
        <f>K43+L43+M43</f>
        <v>0</v>
      </c>
      <c r="K43" s="91">
        <f>(K27+K30+K31)*0.25</f>
        <v>0</v>
      </c>
      <c r="L43" s="82">
        <f>(L27+L30+L31)*0.25</f>
        <v>0</v>
      </c>
      <c r="M43" s="82">
        <f>(M27+M30+M31)*0.25</f>
        <v>0</v>
      </c>
      <c r="N43" s="45"/>
    </row>
    <row r="44" spans="1:14" ht="15" customHeight="1" x14ac:dyDescent="0.25">
      <c r="A44" s="45"/>
      <c r="B44" s="56"/>
      <c r="C44" s="441" t="s">
        <v>250</v>
      </c>
      <c r="D44" s="441"/>
      <c r="E44" s="441"/>
      <c r="F44" s="441"/>
      <c r="G44" s="441"/>
      <c r="H44" s="441"/>
      <c r="I44" s="441"/>
      <c r="J44" s="84">
        <f>K44+L44+M44</f>
        <v>0</v>
      </c>
      <c r="K44" s="84">
        <f>K32*0.25</f>
        <v>0</v>
      </c>
      <c r="L44" s="89">
        <f>L32*0.25</f>
        <v>0</v>
      </c>
      <c r="M44" s="89">
        <f>M32*0.25</f>
        <v>0</v>
      </c>
      <c r="N44" s="45"/>
    </row>
    <row r="45" spans="1:14" x14ac:dyDescent="0.25">
      <c r="A45" s="45"/>
      <c r="B45" s="56"/>
      <c r="C45" s="441" t="s">
        <v>251</v>
      </c>
      <c r="D45" s="441"/>
      <c r="E45" s="441"/>
      <c r="F45" s="441"/>
      <c r="G45" s="441"/>
      <c r="H45" s="441"/>
      <c r="I45" s="441"/>
      <c r="J45" s="84">
        <f>K45+L45+M45</f>
        <v>0</v>
      </c>
      <c r="K45" s="84">
        <f>+K38*0.25</f>
        <v>0</v>
      </c>
      <c r="L45" s="89">
        <f>+L38*0.25</f>
        <v>0</v>
      </c>
      <c r="M45" s="89">
        <f>+M38*0.25</f>
        <v>0</v>
      </c>
      <c r="N45" s="45"/>
    </row>
    <row r="46" spans="1:14" ht="15.75" thickBot="1" x14ac:dyDescent="0.3">
      <c r="A46" s="45"/>
      <c r="B46" s="56"/>
      <c r="C46" s="432" t="s">
        <v>252</v>
      </c>
      <c r="D46" s="432"/>
      <c r="E46" s="432"/>
      <c r="F46" s="432"/>
      <c r="G46" s="432"/>
      <c r="H46" s="432"/>
      <c r="I46" s="432"/>
      <c r="J46" s="82">
        <f>K46+L46+M46</f>
        <v>0</v>
      </c>
      <c r="K46" s="76">
        <f>K41*0.25</f>
        <v>0</v>
      </c>
      <c r="L46" s="76">
        <f>L41*0.25</f>
        <v>0</v>
      </c>
      <c r="M46" s="76">
        <f>M41*0.25</f>
        <v>0</v>
      </c>
      <c r="N46" s="45"/>
    </row>
    <row r="47" spans="1:14" ht="15" customHeight="1" thickBot="1" x14ac:dyDescent="0.3">
      <c r="A47" s="45"/>
      <c r="B47" s="52" t="s">
        <v>253</v>
      </c>
      <c r="C47" s="434" t="s">
        <v>254</v>
      </c>
      <c r="D47" s="435"/>
      <c r="E47" s="435"/>
      <c r="F47" s="435"/>
      <c r="G47" s="435"/>
      <c r="H47" s="435"/>
      <c r="I47" s="436"/>
      <c r="J47" s="96">
        <f>SUM(K47:M47)</f>
        <v>0</v>
      </c>
      <c r="K47" s="96">
        <f>SUM(K43:K46)</f>
        <v>0</v>
      </c>
      <c r="L47" s="88">
        <f>SUM(L43:L46)</f>
        <v>0</v>
      </c>
      <c r="M47" s="92">
        <f>SUM(M43:M46)</f>
        <v>0</v>
      </c>
      <c r="N47" s="45"/>
    </row>
    <row r="48" spans="1:14" x14ac:dyDescent="0.25">
      <c r="A48" s="45"/>
      <c r="B48" s="499"/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45"/>
    </row>
    <row r="49" spans="1:14" x14ac:dyDescent="0.25">
      <c r="A49" s="9"/>
      <c r="B49" s="247" t="s">
        <v>23</v>
      </c>
      <c r="C49" s="247"/>
      <c r="D49" s="247"/>
      <c r="E49" s="247"/>
      <c r="F49" s="247"/>
      <c r="G49" s="247"/>
      <c r="H49" s="247"/>
      <c r="I49" s="247"/>
      <c r="J49" s="140">
        <f>SUM(K49:M49)</f>
        <v>0</v>
      </c>
      <c r="K49" s="140">
        <f>K27+K30+K34+K37+K42+K47</f>
        <v>0</v>
      </c>
      <c r="L49" s="140">
        <f>L27+L30+L34+L37+L42+L47</f>
        <v>0</v>
      </c>
      <c r="M49" s="141">
        <f>M27+M30+M34+M37+M42+M47</f>
        <v>0</v>
      </c>
      <c r="N49" s="99"/>
    </row>
    <row r="50" spans="1:14" x14ac:dyDescent="0.25">
      <c r="A50" s="9"/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99"/>
    </row>
    <row r="51" spans="1:14" x14ac:dyDescent="0.25">
      <c r="A51" s="9"/>
      <c r="B51" s="242" t="s">
        <v>305</v>
      </c>
      <c r="C51" s="242"/>
      <c r="D51" s="242"/>
      <c r="E51" s="242"/>
      <c r="F51" s="242"/>
      <c r="G51" s="242"/>
      <c r="H51" s="242"/>
      <c r="I51" s="242"/>
      <c r="J51" s="138">
        <f>K51+L51</f>
        <v>0</v>
      </c>
      <c r="K51" s="139">
        <f>Ansøgning!L50</f>
        <v>0</v>
      </c>
      <c r="L51" s="139">
        <f>Ansøgning!L51</f>
        <v>0</v>
      </c>
      <c r="M51" s="99"/>
      <c r="N51" s="99"/>
    </row>
    <row r="52" spans="1:14" x14ac:dyDescent="0.25">
      <c r="A52" s="9"/>
      <c r="B52" s="246" t="s">
        <v>306</v>
      </c>
      <c r="C52" s="246"/>
      <c r="D52" s="246"/>
      <c r="E52" s="246"/>
      <c r="F52" s="246"/>
      <c r="G52" s="246"/>
      <c r="H52" s="246"/>
      <c r="I52" s="246"/>
      <c r="J52" s="142">
        <f>K52+L52</f>
        <v>0</v>
      </c>
      <c r="K52" s="143">
        <f>K49-K51</f>
        <v>0</v>
      </c>
      <c r="L52" s="143">
        <f>L49-L51</f>
        <v>0</v>
      </c>
      <c r="M52" s="99"/>
      <c r="N52" s="99"/>
    </row>
    <row r="53" spans="1:14" ht="7.5" customHeight="1" x14ac:dyDescent="0.25">
      <c r="A53" s="9"/>
      <c r="B53" s="61"/>
      <c r="C53" s="61"/>
      <c r="D53" s="61"/>
      <c r="E53" s="61"/>
      <c r="F53" s="61"/>
      <c r="G53" s="61"/>
      <c r="H53" s="61"/>
      <c r="I53" s="99"/>
      <c r="J53" s="99"/>
      <c r="K53" s="99"/>
      <c r="L53" s="99"/>
      <c r="M53" s="99"/>
      <c r="N53" s="99"/>
    </row>
    <row r="1048419" spans="2:10" x14ac:dyDescent="0.25">
      <c r="B1048419" s="378"/>
      <c r="C1048419" s="378"/>
      <c r="D1048419" s="378"/>
      <c r="E1048419" s="378"/>
      <c r="F1048419" s="378"/>
      <c r="G1048419" s="378"/>
      <c r="H1048419" s="378"/>
      <c r="I1048419" s="378"/>
      <c r="J1048419" s="378"/>
    </row>
  </sheetData>
  <sheetProtection sheet="1" selectLockedCells="1"/>
  <mergeCells count="55">
    <mergeCell ref="B48:M48"/>
    <mergeCell ref="C45:I45"/>
    <mergeCell ref="C46:I46"/>
    <mergeCell ref="B1048419:J1048419"/>
    <mergeCell ref="B51:I51"/>
    <mergeCell ref="B49:I49"/>
    <mergeCell ref="B52:I52"/>
    <mergeCell ref="C34:I34"/>
    <mergeCell ref="C35:I35"/>
    <mergeCell ref="C36:I36"/>
    <mergeCell ref="C37:I37"/>
    <mergeCell ref="C38:I38"/>
    <mergeCell ref="C39:I39"/>
    <mergeCell ref="C40:I40"/>
    <mergeCell ref="C41:I41"/>
    <mergeCell ref="C42:I42"/>
    <mergeCell ref="C43:I43"/>
    <mergeCell ref="C44:I44"/>
    <mergeCell ref="C47:I47"/>
    <mergeCell ref="C33:I33"/>
    <mergeCell ref="C18:G18"/>
    <mergeCell ref="C19:G19"/>
    <mergeCell ref="C20:G20"/>
    <mergeCell ref="C23:K23"/>
    <mergeCell ref="C24:J24"/>
    <mergeCell ref="C21:G21"/>
    <mergeCell ref="C22:J22"/>
    <mergeCell ref="C26:I26"/>
    <mergeCell ref="C25:I25"/>
    <mergeCell ref="C27:I27"/>
    <mergeCell ref="C28:G28"/>
    <mergeCell ref="H28:I28"/>
    <mergeCell ref="C29:I29"/>
    <mergeCell ref="C30:I30"/>
    <mergeCell ref="C12:G12"/>
    <mergeCell ref="C13:G13"/>
    <mergeCell ref="C32:I32"/>
    <mergeCell ref="C31:G31"/>
    <mergeCell ref="H31:I31"/>
    <mergeCell ref="C14:G14"/>
    <mergeCell ref="C15:G15"/>
    <mergeCell ref="C16:G16"/>
    <mergeCell ref="C17:G17"/>
    <mergeCell ref="A1:N1"/>
    <mergeCell ref="B2:G2"/>
    <mergeCell ref="H2:I2"/>
    <mergeCell ref="B3:G3"/>
    <mergeCell ref="C4:G4"/>
    <mergeCell ref="C10:G10"/>
    <mergeCell ref="C11:G11"/>
    <mergeCell ref="C5:G5"/>
    <mergeCell ref="C6:G6"/>
    <mergeCell ref="C7:G7"/>
    <mergeCell ref="C8:G8"/>
    <mergeCell ref="C9:G9"/>
  </mergeCells>
  <conditionalFormatting sqref="I4:I21">
    <cfRule type="expression" priority="6" stopIfTrue="1">
      <formula>I4&gt;0</formula>
    </cfRule>
    <cfRule type="expression" dxfId="47" priority="7">
      <formula>I4+J4&gt;0</formula>
    </cfRule>
  </conditionalFormatting>
  <conditionalFormatting sqref="J25:J26">
    <cfRule type="expression" dxfId="46" priority="4">
      <formula>$J$85=0</formula>
    </cfRule>
    <cfRule type="expression" dxfId="45" priority="5">
      <formula>$J$64+$J$66+$J$67=0</formula>
    </cfRule>
  </conditionalFormatting>
  <conditionalFormatting sqref="J28">
    <cfRule type="expression" dxfId="44" priority="11">
      <formula>$H$87&lt;10.01%</formula>
    </cfRule>
  </conditionalFormatting>
  <conditionalFormatting sqref="J31">
    <cfRule type="expression" dxfId="43" priority="12">
      <formula>$H$90&gt;0.15</formula>
    </cfRule>
  </conditionalFormatting>
  <dataValidations disablePrompts="1" count="1">
    <dataValidation allowBlank="1" showInputMessage="1" showErrorMessage="1" prompt="Formel _x000a_IKKE _x000a_slette !!!" sqref="K22:M22 K24:M24" xr:uid="{6AB83121-84AF-4E7E-9701-5A4B562F9641}"/>
  </dataValidations>
  <pageMargins left="0" right="0" top="0" bottom="0" header="0" footer="0"/>
  <pageSetup paperSize="8" fitToWidth="2" fitToHeight="2" orientation="landscape" r:id="rId1"/>
  <colBreaks count="1" manualBreakCount="1">
    <brk id="14" max="1048575" man="1"/>
  </colBreaks>
  <ignoredErrors>
    <ignoredError sqref="J42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7191E9-4C80-40DE-BC47-D57582895A1F}">
            <xm:f>'Licitation - Ansøger'!$B$15="Ja"</xm:f>
            <x14:dxf>
              <fill>
                <patternFill patternType="lightUp"/>
              </fill>
            </x14:dxf>
          </x14:cfRule>
          <x14:cfRule type="expression" priority="2" id="{63BAA7DD-0E90-414C-8FAF-BD8EE93E244C}">
            <xm:f>'Licitation - Ansøger'!$B$14="Ja"</xm:f>
            <x14:dxf>
              <fill>
                <patternFill patternType="lightUp"/>
              </fill>
            </x14:dxf>
          </x14:cfRule>
          <xm:sqref>C28:M28</xm:sqref>
        </x14:conditionalFormatting>
        <x14:conditionalFormatting xmlns:xm="http://schemas.microsoft.com/office/excel/2006/main">
          <x14:cfRule type="expression" priority="3" id="{615E66BB-6E1C-45D5-BB7D-C30CBED09AF0}">
            <xm:f>'Licitation - Ansøger'!$F$15="Ja"</xm:f>
            <x14:dxf>
              <fill>
                <patternFill patternType="lightUp"/>
              </fill>
            </x14:dxf>
          </x14:cfRule>
          <xm:sqref>L28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3">
    <tabColor rgb="FF00B050"/>
  </sheetPr>
  <dimension ref="A1:X119"/>
  <sheetViews>
    <sheetView workbookViewId="0">
      <selection activeCell="E10" sqref="E10:K10"/>
    </sheetView>
  </sheetViews>
  <sheetFormatPr defaultColWidth="9.140625" defaultRowHeight="15" x14ac:dyDescent="0.25"/>
  <cols>
    <col min="1" max="1" width="1.42578125" style="1" customWidth="1"/>
    <col min="2" max="8" width="6" style="1" bestFit="1" customWidth="1"/>
    <col min="9" max="9" width="6" style="1" customWidth="1"/>
    <col min="10" max="17" width="7.140625" style="1" customWidth="1"/>
    <col min="18" max="18" width="1.42578125" style="1" customWidth="1"/>
    <col min="19" max="19" width="6" style="166" bestFit="1" customWidth="1"/>
    <col min="20" max="20" width="9.140625" style="166"/>
    <col min="21" max="21" width="15.42578125" style="166" bestFit="1" customWidth="1"/>
    <col min="22" max="22" width="9.5703125" style="166" bestFit="1" customWidth="1"/>
    <col min="23" max="16384" width="9.140625" style="166"/>
  </cols>
  <sheetData>
    <row r="1" spans="1:18" ht="7.5" customHeight="1" thickBot="1" x14ac:dyDescent="0.3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18" ht="15.75" thickBot="1" x14ac:dyDescent="0.3">
      <c r="A2" s="9"/>
      <c r="B2" s="298" t="s">
        <v>98</v>
      </c>
      <c r="C2" s="299"/>
      <c r="D2" s="299"/>
      <c r="E2" s="299"/>
      <c r="F2" s="299"/>
      <c r="G2" s="299"/>
      <c r="H2" s="299"/>
      <c r="I2" s="299"/>
      <c r="J2" s="300"/>
      <c r="K2" s="298" t="s">
        <v>99</v>
      </c>
      <c r="L2" s="299"/>
      <c r="M2" s="299"/>
      <c r="N2" s="299"/>
      <c r="O2" s="299"/>
      <c r="P2" s="299"/>
      <c r="Q2" s="300"/>
      <c r="R2" s="9"/>
    </row>
    <row r="3" spans="1:18" ht="9" customHeight="1" x14ac:dyDescent="0.25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4" spans="1:18" x14ac:dyDescent="0.25">
      <c r="A4" s="9"/>
      <c r="B4" s="294" t="s">
        <v>100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9"/>
    </row>
    <row r="5" spans="1:18" ht="15" customHeight="1" x14ac:dyDescent="0.25">
      <c r="A5" s="9"/>
      <c r="B5" s="301" t="s">
        <v>101</v>
      </c>
      <c r="C5" s="302"/>
      <c r="D5" s="303"/>
      <c r="E5" s="467" t="str">
        <f>Ansøgning!E5</f>
        <v>Vejnavn(e)</v>
      </c>
      <c r="F5" s="470"/>
      <c r="G5" s="470"/>
      <c r="H5" s="470"/>
      <c r="I5" s="470"/>
      <c r="J5" s="470"/>
      <c r="K5" s="470"/>
      <c r="L5" s="470"/>
      <c r="M5" s="470"/>
      <c r="N5" s="470"/>
      <c r="O5" s="470"/>
      <c r="P5" s="470"/>
      <c r="Q5" s="471"/>
      <c r="R5" s="9"/>
    </row>
    <row r="6" spans="1:18" ht="15" customHeight="1" x14ac:dyDescent="0.25">
      <c r="A6" s="9"/>
      <c r="B6" s="304" t="s">
        <v>103</v>
      </c>
      <c r="C6" s="305"/>
      <c r="D6" s="306"/>
      <c r="E6" s="467" t="str">
        <f>Ansøgning!E6</f>
        <v>Nummer / numre</v>
      </c>
      <c r="F6" s="470"/>
      <c r="G6" s="471"/>
      <c r="H6" s="301" t="s">
        <v>105</v>
      </c>
      <c r="I6" s="302"/>
      <c r="J6" s="303"/>
      <c r="K6" s="467" t="str">
        <f>Ansøgning!K6</f>
        <v>Bogstav(er)</v>
      </c>
      <c r="L6" s="470"/>
      <c r="M6" s="471"/>
      <c r="N6" s="307" t="s">
        <v>107</v>
      </c>
      <c r="O6" s="308"/>
      <c r="P6" s="467" t="str">
        <f>Ændringer!G47</f>
        <v>SAVE</v>
      </c>
      <c r="Q6" s="471"/>
      <c r="R6" s="9"/>
    </row>
    <row r="7" spans="1:18" ht="15" customHeight="1" x14ac:dyDescent="0.25">
      <c r="A7" s="9"/>
      <c r="B7" s="223" t="s">
        <v>307</v>
      </c>
      <c r="C7" s="224"/>
      <c r="D7" s="225"/>
      <c r="E7" s="467" t="str">
        <f>Ansøgning!E7</f>
        <v>Nummer</v>
      </c>
      <c r="F7" s="470"/>
      <c r="G7" s="471"/>
      <c r="H7" s="223" t="s">
        <v>110</v>
      </c>
      <c r="I7" s="224"/>
      <c r="J7" s="225"/>
      <c r="K7" s="467" t="str">
        <f>Ændringer!G45</f>
        <v>Matr. nr.</v>
      </c>
      <c r="L7" s="470"/>
      <c r="M7" s="471"/>
      <c r="N7" s="223" t="s">
        <v>360</v>
      </c>
      <c r="O7" s="225"/>
      <c r="P7" s="467" t="str">
        <f>Ansøgning!P7</f>
        <v>Nr.</v>
      </c>
      <c r="Q7" s="471"/>
      <c r="R7" s="9"/>
    </row>
    <row r="8" spans="1:18" ht="9" customHeight="1" x14ac:dyDescent="0.25">
      <c r="A8" s="9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9"/>
    </row>
    <row r="9" spans="1:18" x14ac:dyDescent="0.25">
      <c r="A9" s="9"/>
      <c r="B9" s="295" t="s">
        <v>113</v>
      </c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9"/>
    </row>
    <row r="10" spans="1:18" x14ac:dyDescent="0.25">
      <c r="A10" s="10"/>
      <c r="B10" s="223" t="s">
        <v>114</v>
      </c>
      <c r="C10" s="224"/>
      <c r="D10" s="225"/>
      <c r="E10" s="289" t="s">
        <v>115</v>
      </c>
      <c r="F10" s="287"/>
      <c r="G10" s="287"/>
      <c r="H10" s="287"/>
      <c r="I10" s="287"/>
      <c r="J10" s="287"/>
      <c r="K10" s="288"/>
      <c r="L10" s="223" t="s">
        <v>116</v>
      </c>
      <c r="M10" s="224"/>
      <c r="N10" s="225"/>
      <c r="O10" s="289" t="s">
        <v>49</v>
      </c>
      <c r="P10" s="287"/>
      <c r="Q10" s="288"/>
      <c r="R10" s="10"/>
    </row>
    <row r="11" spans="1:18" x14ac:dyDescent="0.25">
      <c r="A11" s="10"/>
      <c r="B11" s="223" t="s">
        <v>117</v>
      </c>
      <c r="C11" s="224"/>
      <c r="D11" s="225"/>
      <c r="E11" s="289" t="s">
        <v>118</v>
      </c>
      <c r="F11" s="287"/>
      <c r="G11" s="287"/>
      <c r="H11" s="287"/>
      <c r="I11" s="287"/>
      <c r="J11" s="287"/>
      <c r="K11" s="288"/>
      <c r="L11" s="223" t="s">
        <v>119</v>
      </c>
      <c r="M11" s="224"/>
      <c r="N11" s="225"/>
      <c r="O11" s="289" t="s">
        <v>49</v>
      </c>
      <c r="P11" s="287"/>
      <c r="Q11" s="288"/>
      <c r="R11" s="10"/>
    </row>
    <row r="12" spans="1:18" x14ac:dyDescent="0.25">
      <c r="A12" s="10"/>
      <c r="B12" s="223" t="s">
        <v>120</v>
      </c>
      <c r="C12" s="224"/>
      <c r="D12" s="225"/>
      <c r="E12" s="289" t="s">
        <v>121</v>
      </c>
      <c r="F12" s="287"/>
      <c r="G12" s="287"/>
      <c r="H12" s="287"/>
      <c r="I12" s="287"/>
      <c r="J12" s="287"/>
      <c r="K12" s="288"/>
      <c r="L12" s="223" t="s">
        <v>122</v>
      </c>
      <c r="M12" s="224"/>
      <c r="N12" s="225"/>
      <c r="O12" s="289" t="s">
        <v>123</v>
      </c>
      <c r="P12" s="287"/>
      <c r="Q12" s="288"/>
      <c r="R12" s="10"/>
    </row>
    <row r="13" spans="1:18" x14ac:dyDescent="0.25">
      <c r="A13" s="10"/>
      <c r="B13" s="223" t="s">
        <v>124</v>
      </c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5"/>
      <c r="R13" s="10"/>
    </row>
    <row r="14" spans="1:18" x14ac:dyDescent="0.25">
      <c r="A14" s="10"/>
      <c r="B14" s="5"/>
      <c r="C14" s="256" t="s">
        <v>125</v>
      </c>
      <c r="D14" s="256"/>
      <c r="E14" s="256"/>
      <c r="F14" s="256"/>
      <c r="G14" s="256"/>
      <c r="H14" s="256"/>
      <c r="I14" s="128"/>
      <c r="J14" s="223" t="s">
        <v>126</v>
      </c>
      <c r="K14" s="224"/>
      <c r="L14" s="224"/>
      <c r="M14" s="226">
        <v>0</v>
      </c>
      <c r="N14" s="227"/>
      <c r="O14" s="223" t="s">
        <v>367</v>
      </c>
      <c r="P14" s="224"/>
      <c r="Q14" s="225"/>
      <c r="R14" s="10"/>
    </row>
    <row r="15" spans="1:18" x14ac:dyDescent="0.25">
      <c r="A15" s="10"/>
      <c r="B15" s="5"/>
      <c r="C15" s="256" t="s">
        <v>127</v>
      </c>
      <c r="D15" s="256"/>
      <c r="E15" s="256"/>
      <c r="F15" s="129"/>
      <c r="G15" s="223" t="s">
        <v>128</v>
      </c>
      <c r="H15" s="224"/>
      <c r="I15" s="224"/>
      <c r="J15" s="225"/>
      <c r="K15" s="128"/>
      <c r="L15" s="223" t="s">
        <v>129</v>
      </c>
      <c r="M15" s="225"/>
      <c r="N15" s="128"/>
      <c r="O15" s="256" t="s">
        <v>130</v>
      </c>
      <c r="P15" s="256"/>
      <c r="Q15" s="256"/>
      <c r="R15" s="10"/>
    </row>
    <row r="16" spans="1:18" ht="9" customHeight="1" x14ac:dyDescent="0.25">
      <c r="A16" s="293"/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</row>
    <row r="17" spans="1:18" x14ac:dyDescent="0.25">
      <c r="A17" s="10"/>
      <c r="B17" s="294" t="s">
        <v>131</v>
      </c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10"/>
    </row>
    <row r="18" spans="1:18" x14ac:dyDescent="0.25">
      <c r="A18" s="10"/>
      <c r="B18" s="223" t="s">
        <v>132</v>
      </c>
      <c r="C18" s="224"/>
      <c r="D18" s="225"/>
      <c r="E18" s="289" t="s">
        <v>133</v>
      </c>
      <c r="F18" s="287"/>
      <c r="G18" s="287"/>
      <c r="H18" s="287"/>
      <c r="I18" s="287"/>
      <c r="J18" s="287"/>
      <c r="K18" s="288"/>
      <c r="L18" s="223" t="s">
        <v>119</v>
      </c>
      <c r="M18" s="224"/>
      <c r="N18" s="225"/>
      <c r="O18" s="289" t="s">
        <v>49</v>
      </c>
      <c r="P18" s="287"/>
      <c r="Q18" s="288"/>
      <c r="R18" s="10"/>
    </row>
    <row r="19" spans="1:18" x14ac:dyDescent="0.25">
      <c r="A19" s="10"/>
      <c r="B19" s="223" t="s">
        <v>117</v>
      </c>
      <c r="C19" s="224"/>
      <c r="D19" s="225"/>
      <c r="E19" s="289" t="s">
        <v>134</v>
      </c>
      <c r="F19" s="287"/>
      <c r="G19" s="287"/>
      <c r="H19" s="287"/>
      <c r="I19" s="287"/>
      <c r="J19" s="287"/>
      <c r="K19" s="288"/>
      <c r="L19" s="223" t="s">
        <v>122</v>
      </c>
      <c r="M19" s="224"/>
      <c r="N19" s="225"/>
      <c r="O19" s="289" t="s">
        <v>123</v>
      </c>
      <c r="P19" s="287"/>
      <c r="Q19" s="288"/>
      <c r="R19" s="10"/>
    </row>
    <row r="20" spans="1:18" ht="9" customHeight="1" x14ac:dyDescent="0.25">
      <c r="A20" s="293"/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</row>
    <row r="21" spans="1:18" x14ac:dyDescent="0.25">
      <c r="A21" s="10"/>
      <c r="B21" s="294" t="s">
        <v>135</v>
      </c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10"/>
    </row>
    <row r="22" spans="1:18" x14ac:dyDescent="0.25">
      <c r="A22" s="10"/>
      <c r="B22" s="223" t="s">
        <v>132</v>
      </c>
      <c r="C22" s="224"/>
      <c r="D22" s="225"/>
      <c r="E22" s="289" t="s">
        <v>136</v>
      </c>
      <c r="F22" s="287"/>
      <c r="G22" s="287"/>
      <c r="H22" s="287"/>
      <c r="I22" s="287"/>
      <c r="J22" s="287"/>
      <c r="K22" s="288"/>
      <c r="L22" s="223" t="s">
        <v>119</v>
      </c>
      <c r="M22" s="224"/>
      <c r="N22" s="225"/>
      <c r="O22" s="289" t="s">
        <v>49</v>
      </c>
      <c r="P22" s="287"/>
      <c r="Q22" s="288"/>
      <c r="R22" s="10"/>
    </row>
    <row r="23" spans="1:18" x14ac:dyDescent="0.25">
      <c r="A23" s="10"/>
      <c r="B23" s="223" t="s">
        <v>117</v>
      </c>
      <c r="C23" s="224"/>
      <c r="D23" s="225"/>
      <c r="E23" s="289" t="s">
        <v>118</v>
      </c>
      <c r="F23" s="287"/>
      <c r="G23" s="287"/>
      <c r="H23" s="287"/>
      <c r="I23" s="287"/>
      <c r="J23" s="287"/>
      <c r="K23" s="288"/>
      <c r="L23" s="223" t="s">
        <v>122</v>
      </c>
      <c r="M23" s="224"/>
      <c r="N23" s="225"/>
      <c r="O23" s="289" t="s">
        <v>123</v>
      </c>
      <c r="P23" s="287"/>
      <c r="Q23" s="288"/>
      <c r="R23" s="10"/>
    </row>
    <row r="24" spans="1:18" ht="9" customHeight="1" x14ac:dyDescent="0.25">
      <c r="A24" s="293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</row>
    <row r="25" spans="1:18" x14ac:dyDescent="0.25">
      <c r="A25" s="10"/>
      <c r="B25" s="294" t="s">
        <v>137</v>
      </c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10"/>
    </row>
    <row r="26" spans="1:18" x14ac:dyDescent="0.25">
      <c r="A26" s="10"/>
      <c r="B26" s="256" t="s">
        <v>138</v>
      </c>
      <c r="C26" s="256"/>
      <c r="D26" s="256"/>
      <c r="E26" s="256"/>
      <c r="F26" s="256"/>
      <c r="G26" s="256"/>
      <c r="H26" s="348">
        <v>0</v>
      </c>
      <c r="I26" s="349"/>
      <c r="J26" s="349"/>
      <c r="K26" s="350"/>
      <c r="L26" s="126"/>
      <c r="M26" s="127"/>
      <c r="N26" s="127"/>
      <c r="O26" s="127"/>
      <c r="P26" s="127"/>
      <c r="Q26" s="13"/>
      <c r="R26" s="10"/>
    </row>
    <row r="27" spans="1:18" ht="9" customHeight="1" x14ac:dyDescent="0.25">
      <c r="A27" s="293"/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</row>
    <row r="28" spans="1:18" x14ac:dyDescent="0.25">
      <c r="A28" s="10"/>
      <c r="B28" s="294" t="s">
        <v>365</v>
      </c>
      <c r="C28" s="294"/>
      <c r="D28" s="294"/>
      <c r="E28" s="294"/>
      <c r="F28" s="344"/>
      <c r="G28" s="294"/>
      <c r="H28" s="294"/>
      <c r="I28" s="294"/>
      <c r="J28" s="294"/>
      <c r="K28" s="344"/>
      <c r="L28" s="294"/>
      <c r="M28" s="294"/>
      <c r="N28" s="294"/>
      <c r="O28" s="294"/>
      <c r="P28" s="344"/>
      <c r="Q28" s="344"/>
      <c r="R28" s="10"/>
    </row>
    <row r="29" spans="1:18" x14ac:dyDescent="0.25">
      <c r="A29" s="10"/>
      <c r="B29" s="223" t="s">
        <v>308</v>
      </c>
      <c r="C29" s="224"/>
      <c r="D29" s="224"/>
      <c r="E29" s="224"/>
      <c r="F29" s="346"/>
      <c r="G29" s="224" t="s">
        <v>309</v>
      </c>
      <c r="H29" s="224"/>
      <c r="I29" s="224"/>
      <c r="J29" s="224"/>
      <c r="K29" s="346"/>
      <c r="L29" s="224" t="s">
        <v>310</v>
      </c>
      <c r="M29" s="224"/>
      <c r="N29" s="224"/>
      <c r="O29" s="224"/>
      <c r="P29" s="352"/>
      <c r="Q29" s="353"/>
      <c r="R29" s="10"/>
    </row>
    <row r="30" spans="1:18" x14ac:dyDescent="0.25">
      <c r="A30" s="10"/>
      <c r="B30" s="12" t="s">
        <v>142</v>
      </c>
      <c r="C30" s="5"/>
      <c r="D30" s="12" t="s">
        <v>143</v>
      </c>
      <c r="E30" s="14"/>
      <c r="F30" s="347"/>
      <c r="G30" s="13" t="s">
        <v>142</v>
      </c>
      <c r="H30" s="5"/>
      <c r="I30" s="12" t="s">
        <v>143</v>
      </c>
      <c r="J30" s="14"/>
      <c r="K30" s="347"/>
      <c r="L30" s="13" t="s">
        <v>142</v>
      </c>
      <c r="M30" s="5"/>
      <c r="N30" s="12" t="s">
        <v>143</v>
      </c>
      <c r="O30" s="14"/>
      <c r="P30" s="354"/>
      <c r="Q30" s="355"/>
      <c r="R30" s="10"/>
    </row>
    <row r="31" spans="1:18" ht="9" customHeight="1" x14ac:dyDescent="0.25">
      <c r="A31" s="293"/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</row>
    <row r="32" spans="1:18" x14ac:dyDescent="0.25">
      <c r="A32" s="10"/>
      <c r="B32" s="294" t="s">
        <v>311</v>
      </c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10"/>
    </row>
    <row r="33" spans="1:18" x14ac:dyDescent="0.25">
      <c r="A33" s="10"/>
      <c r="B33" s="256" t="s">
        <v>327</v>
      </c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10"/>
    </row>
    <row r="34" spans="1:18" x14ac:dyDescent="0.25">
      <c r="A34" s="10"/>
      <c r="B34" s="256" t="s">
        <v>146</v>
      </c>
      <c r="C34" s="256"/>
      <c r="D34" s="256"/>
      <c r="E34" s="256" t="s">
        <v>147</v>
      </c>
      <c r="F34" s="256"/>
      <c r="G34" s="256"/>
      <c r="H34" s="256" t="s">
        <v>148</v>
      </c>
      <c r="I34" s="256"/>
      <c r="J34" s="256"/>
      <c r="K34" s="256" t="s">
        <v>149</v>
      </c>
      <c r="L34" s="256"/>
      <c r="M34" s="256"/>
      <c r="N34" s="256" t="s">
        <v>312</v>
      </c>
      <c r="O34" s="256"/>
      <c r="P34" s="256"/>
      <c r="Q34" s="256"/>
      <c r="R34" s="10"/>
    </row>
    <row r="35" spans="1:18" x14ac:dyDescent="0.25">
      <c r="A35" s="10"/>
      <c r="B35" s="337">
        <v>0</v>
      </c>
      <c r="C35" s="337"/>
      <c r="D35" s="337"/>
      <c r="E35" s="337">
        <v>0</v>
      </c>
      <c r="F35" s="337"/>
      <c r="G35" s="337"/>
      <c r="H35" s="336">
        <v>0</v>
      </c>
      <c r="I35" s="336"/>
      <c r="J35" s="336"/>
      <c r="K35" s="343">
        <v>0</v>
      </c>
      <c r="L35" s="343"/>
      <c r="M35" s="343"/>
      <c r="N35" s="343">
        <v>0</v>
      </c>
      <c r="O35" s="343"/>
      <c r="P35" s="343"/>
      <c r="Q35" s="343"/>
      <c r="R35" s="10"/>
    </row>
    <row r="36" spans="1:18" x14ac:dyDescent="0.25">
      <c r="A36" s="10"/>
      <c r="B36" s="357" t="s">
        <v>151</v>
      </c>
      <c r="C36" s="358"/>
      <c r="D36" s="358"/>
      <c r="E36" s="224"/>
      <c r="F36" s="224"/>
      <c r="G36" s="224"/>
      <c r="H36" s="358"/>
      <c r="I36" s="358"/>
      <c r="J36" s="358"/>
      <c r="K36" s="224"/>
      <c r="L36" s="224"/>
      <c r="M36" s="224"/>
      <c r="N36" s="224"/>
      <c r="O36" s="224"/>
      <c r="P36" s="224"/>
      <c r="Q36" s="225"/>
      <c r="R36" s="10"/>
    </row>
    <row r="37" spans="1:18" x14ac:dyDescent="0.25">
      <c r="A37" s="10"/>
      <c r="B37" s="223" t="s">
        <v>152</v>
      </c>
      <c r="C37" s="224"/>
      <c r="D37" s="224"/>
      <c r="E37" s="225"/>
      <c r="F37" s="359" t="s">
        <v>5</v>
      </c>
      <c r="G37" s="360"/>
      <c r="H37" s="361"/>
      <c r="I37" s="362"/>
      <c r="J37" s="363"/>
      <c r="K37" s="364" t="s">
        <v>153</v>
      </c>
      <c r="L37" s="365"/>
      <c r="M37" s="366"/>
      <c r="N37" s="367">
        <v>0</v>
      </c>
      <c r="O37" s="368"/>
      <c r="P37" s="223" t="s">
        <v>154</v>
      </c>
      <c r="Q37" s="225"/>
      <c r="R37" s="10"/>
    </row>
    <row r="38" spans="1:18" x14ac:dyDescent="0.25">
      <c r="A38" s="10"/>
      <c r="B38" s="256" t="s">
        <v>328</v>
      </c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10"/>
    </row>
    <row r="39" spans="1:18" x14ac:dyDescent="0.25">
      <c r="A39" s="10"/>
      <c r="B39" s="256" t="s">
        <v>146</v>
      </c>
      <c r="C39" s="256"/>
      <c r="D39" s="256"/>
      <c r="E39" s="256" t="s">
        <v>147</v>
      </c>
      <c r="F39" s="256"/>
      <c r="G39" s="256"/>
      <c r="H39" s="256" t="s">
        <v>148</v>
      </c>
      <c r="I39" s="256"/>
      <c r="J39" s="256"/>
      <c r="K39" s="256" t="s">
        <v>149</v>
      </c>
      <c r="L39" s="256"/>
      <c r="M39" s="256"/>
      <c r="N39" s="256" t="s">
        <v>312</v>
      </c>
      <c r="O39" s="256"/>
      <c r="P39" s="256"/>
      <c r="Q39" s="256"/>
      <c r="R39" s="10"/>
    </row>
    <row r="40" spans="1:18" x14ac:dyDescent="0.25">
      <c r="A40" s="10"/>
      <c r="B40" s="337">
        <v>0</v>
      </c>
      <c r="C40" s="337"/>
      <c r="D40" s="337"/>
      <c r="E40" s="337">
        <v>0</v>
      </c>
      <c r="F40" s="337"/>
      <c r="G40" s="337"/>
      <c r="H40" s="336">
        <v>0</v>
      </c>
      <c r="I40" s="336"/>
      <c r="J40" s="336"/>
      <c r="K40" s="343">
        <v>0</v>
      </c>
      <c r="L40" s="343"/>
      <c r="M40" s="343"/>
      <c r="N40" s="343">
        <v>0</v>
      </c>
      <c r="O40" s="343"/>
      <c r="P40" s="343"/>
      <c r="Q40" s="343"/>
      <c r="R40" s="10"/>
    </row>
    <row r="41" spans="1:18" x14ac:dyDescent="0.25">
      <c r="A41" s="10"/>
      <c r="B41" s="223" t="s">
        <v>156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5"/>
      <c r="R41" s="10"/>
    </row>
    <row r="42" spans="1:18" x14ac:dyDescent="0.25">
      <c r="A42" s="10"/>
      <c r="B42" s="256" t="s">
        <v>157</v>
      </c>
      <c r="C42" s="256"/>
      <c r="D42" s="256"/>
      <c r="E42" s="348">
        <v>0</v>
      </c>
      <c r="F42" s="349"/>
      <c r="G42" s="350"/>
      <c r="H42" s="256" t="s">
        <v>158</v>
      </c>
      <c r="I42" s="256"/>
      <c r="J42" s="256"/>
      <c r="K42" s="348">
        <v>0</v>
      </c>
      <c r="L42" s="349"/>
      <c r="M42" s="350"/>
      <c r="N42" s="351"/>
      <c r="O42" s="351"/>
      <c r="P42" s="351"/>
      <c r="Q42" s="351"/>
      <c r="R42" s="10"/>
    </row>
    <row r="43" spans="1:18" x14ac:dyDescent="0.25">
      <c r="A43" s="10"/>
      <c r="B43" s="357" t="s">
        <v>159</v>
      </c>
      <c r="C43" s="358"/>
      <c r="D43" s="358"/>
      <c r="E43" s="224"/>
      <c r="F43" s="224"/>
      <c r="G43" s="224"/>
      <c r="H43" s="358"/>
      <c r="I43" s="358"/>
      <c r="J43" s="358"/>
      <c r="K43" s="224"/>
      <c r="L43" s="224"/>
      <c r="M43" s="224"/>
      <c r="N43" s="224"/>
      <c r="O43" s="224"/>
      <c r="P43" s="224"/>
      <c r="Q43" s="225"/>
      <c r="R43" s="10"/>
    </row>
    <row r="44" spans="1:18" x14ac:dyDescent="0.25">
      <c r="A44" s="10"/>
      <c r="B44" s="223" t="s">
        <v>363</v>
      </c>
      <c r="C44" s="224"/>
      <c r="D44" s="224"/>
      <c r="E44" s="225"/>
      <c r="F44" s="359" t="s">
        <v>5</v>
      </c>
      <c r="G44" s="360"/>
      <c r="H44" s="361"/>
      <c r="I44" s="362"/>
      <c r="J44" s="363"/>
      <c r="K44" s="364" t="s">
        <v>364</v>
      </c>
      <c r="L44" s="365"/>
      <c r="M44" s="366"/>
      <c r="N44" s="367">
        <v>0</v>
      </c>
      <c r="O44" s="368"/>
      <c r="P44" s="223" t="s">
        <v>154</v>
      </c>
      <c r="Q44" s="225"/>
      <c r="R44" s="10"/>
    </row>
    <row r="45" spans="1:18" ht="9" customHeight="1" x14ac:dyDescent="0.25">
      <c r="A45" s="293"/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</row>
    <row r="46" spans="1:18" x14ac:dyDescent="0.25">
      <c r="A46" s="10"/>
      <c r="B46" s="294" t="s">
        <v>162</v>
      </c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10"/>
    </row>
    <row r="47" spans="1:18" x14ac:dyDescent="0.25">
      <c r="A47" s="10"/>
      <c r="B47" s="256" t="s">
        <v>313</v>
      </c>
      <c r="C47" s="256"/>
      <c r="D47" s="256"/>
      <c r="E47" s="256"/>
      <c r="F47" s="256"/>
      <c r="G47" s="256"/>
      <c r="H47" s="256"/>
      <c r="I47" s="256"/>
      <c r="J47" s="256"/>
      <c r="K47" s="256"/>
      <c r="L47" s="345">
        <f>J114</f>
        <v>0</v>
      </c>
      <c r="M47" s="345"/>
      <c r="N47" s="345"/>
      <c r="O47" s="345"/>
      <c r="P47" s="345"/>
      <c r="Q47" s="345"/>
      <c r="R47" s="10"/>
    </row>
    <row r="48" spans="1:18" x14ac:dyDescent="0.25">
      <c r="A48" s="10"/>
      <c r="B48" s="223" t="s">
        <v>314</v>
      </c>
      <c r="C48" s="224"/>
      <c r="D48" s="224"/>
      <c r="E48" s="224"/>
      <c r="F48" s="224"/>
      <c r="G48" s="224"/>
      <c r="H48" s="224"/>
      <c r="I48" s="224"/>
      <c r="J48" s="224"/>
      <c r="K48" s="225"/>
      <c r="L48" s="339">
        <f>P114</f>
        <v>0</v>
      </c>
      <c r="M48" s="340"/>
      <c r="N48" s="340"/>
      <c r="O48" s="340"/>
      <c r="P48" s="340"/>
      <c r="Q48" s="341"/>
      <c r="R48" s="10"/>
    </row>
    <row r="49" spans="1:18" x14ac:dyDescent="0.25">
      <c r="A49" s="10"/>
      <c r="B49" s="223" t="s">
        <v>315</v>
      </c>
      <c r="C49" s="224"/>
      <c r="D49" s="224"/>
      <c r="E49" s="224"/>
      <c r="F49" s="224"/>
      <c r="G49" s="224"/>
      <c r="H49" s="224"/>
      <c r="I49" s="224"/>
      <c r="J49" s="224"/>
      <c r="K49" s="225"/>
      <c r="L49" s="339">
        <f>J116</f>
        <v>0</v>
      </c>
      <c r="M49" s="340"/>
      <c r="N49" s="340"/>
      <c r="O49" s="340"/>
      <c r="P49" s="340"/>
      <c r="Q49" s="341"/>
      <c r="R49" s="10"/>
    </row>
    <row r="50" spans="1:18" x14ac:dyDescent="0.25">
      <c r="A50" s="10"/>
      <c r="B50" s="256" t="s">
        <v>316</v>
      </c>
      <c r="C50" s="256"/>
      <c r="D50" s="256"/>
      <c r="E50" s="256"/>
      <c r="F50" s="256"/>
      <c r="G50" s="256"/>
      <c r="H50" s="256"/>
      <c r="I50" s="256"/>
      <c r="J50" s="256"/>
      <c r="K50" s="256"/>
      <c r="L50" s="290">
        <v>0</v>
      </c>
      <c r="M50" s="291"/>
      <c r="N50" s="291"/>
      <c r="O50" s="291"/>
      <c r="P50" s="291"/>
      <c r="Q50" s="292"/>
      <c r="R50" s="10"/>
    </row>
    <row r="51" spans="1:18" x14ac:dyDescent="0.25">
      <c r="A51" s="10"/>
      <c r="B51" s="256" t="s">
        <v>168</v>
      </c>
      <c r="C51" s="256"/>
      <c r="D51" s="256"/>
      <c r="E51" s="256"/>
      <c r="F51" s="256"/>
      <c r="G51" s="256"/>
      <c r="H51" s="256"/>
      <c r="I51" s="256"/>
      <c r="J51" s="256"/>
      <c r="K51" s="256"/>
      <c r="L51" s="342">
        <f>L47-L48-L50</f>
        <v>0</v>
      </c>
      <c r="M51" s="342"/>
      <c r="N51" s="342"/>
      <c r="O51" s="342"/>
      <c r="P51" s="342"/>
      <c r="Q51" s="342"/>
      <c r="R51" s="10"/>
    </row>
    <row r="52" spans="1:18" ht="9" customHeight="1" x14ac:dyDescent="0.25">
      <c r="A52" s="293"/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</row>
    <row r="53" spans="1:18" x14ac:dyDescent="0.25">
      <c r="A53" s="10"/>
      <c r="B53" s="294" t="s">
        <v>169</v>
      </c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10"/>
    </row>
    <row r="54" spans="1:18" x14ac:dyDescent="0.25">
      <c r="A54" s="10"/>
      <c r="B54" s="256" t="s">
        <v>170</v>
      </c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331">
        <v>0</v>
      </c>
      <c r="N54" s="331"/>
      <c r="O54" s="331"/>
      <c r="P54" s="331"/>
      <c r="Q54" s="331"/>
      <c r="R54" s="10"/>
    </row>
    <row r="55" spans="1:18" x14ac:dyDescent="0.25">
      <c r="A55" s="10"/>
      <c r="B55" s="256" t="s">
        <v>171</v>
      </c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331">
        <v>0</v>
      </c>
      <c r="N55" s="331"/>
      <c r="O55" s="331"/>
      <c r="P55" s="331"/>
      <c r="Q55" s="331"/>
      <c r="R55" s="10"/>
    </row>
    <row r="56" spans="1:18" ht="9" customHeight="1" x14ac:dyDescent="0.25">
      <c r="A56" s="293"/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</row>
    <row r="57" spans="1:18" x14ac:dyDescent="0.25">
      <c r="A57" s="10"/>
      <c r="B57" s="294" t="s">
        <v>172</v>
      </c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10"/>
    </row>
    <row r="58" spans="1:18" ht="30" customHeight="1" x14ac:dyDescent="0.25">
      <c r="A58" s="10"/>
      <c r="B58" s="338" t="s">
        <v>173</v>
      </c>
      <c r="C58" s="338"/>
      <c r="D58" s="338"/>
      <c r="E58" s="338"/>
      <c r="F58" s="338"/>
      <c r="G58" s="338"/>
      <c r="H58" s="338"/>
      <c r="I58" s="338"/>
      <c r="J58" s="338"/>
      <c r="K58" s="338"/>
      <c r="L58" s="338"/>
      <c r="M58" s="338"/>
      <c r="N58" s="338"/>
      <c r="O58" s="338"/>
      <c r="P58" s="338"/>
      <c r="Q58" s="338"/>
      <c r="R58" s="10"/>
    </row>
    <row r="59" spans="1:18" x14ac:dyDescent="0.25">
      <c r="A59" s="10"/>
      <c r="B59" s="465"/>
      <c r="C59" s="465"/>
      <c r="D59" s="465"/>
      <c r="E59" s="465"/>
      <c r="F59" s="465"/>
      <c r="G59" s="465"/>
      <c r="H59" s="465"/>
      <c r="I59" s="465"/>
      <c r="J59" s="465"/>
      <c r="K59" s="465"/>
      <c r="L59" s="465"/>
      <c r="M59" s="465"/>
      <c r="N59" s="465"/>
      <c r="O59" s="465"/>
      <c r="P59" s="465"/>
      <c r="Q59" s="465"/>
      <c r="R59" s="10"/>
    </row>
    <row r="60" spans="1:18" x14ac:dyDescent="0.25">
      <c r="A60" s="10"/>
      <c r="B60" s="465"/>
      <c r="C60" s="465"/>
      <c r="D60" s="465"/>
      <c r="E60" s="465"/>
      <c r="F60" s="465"/>
      <c r="G60" s="465"/>
      <c r="H60" s="465"/>
      <c r="I60" s="465"/>
      <c r="J60" s="465"/>
      <c r="K60" s="465"/>
      <c r="L60" s="465"/>
      <c r="M60" s="465"/>
      <c r="N60" s="465"/>
      <c r="O60" s="465"/>
      <c r="P60" s="465"/>
      <c r="Q60" s="465"/>
      <c r="R60" s="10"/>
    </row>
    <row r="61" spans="1:18" x14ac:dyDescent="0.25">
      <c r="A61" s="10"/>
      <c r="B61" s="465"/>
      <c r="C61" s="465"/>
      <c r="D61" s="465"/>
      <c r="E61" s="465"/>
      <c r="F61" s="465"/>
      <c r="G61" s="465"/>
      <c r="H61" s="465"/>
      <c r="I61" s="465"/>
      <c r="J61" s="465"/>
      <c r="K61" s="465"/>
      <c r="L61" s="465"/>
      <c r="M61" s="465"/>
      <c r="N61" s="465"/>
      <c r="O61" s="465"/>
      <c r="P61" s="465"/>
      <c r="Q61" s="465"/>
      <c r="R61" s="10"/>
    </row>
    <row r="62" spans="1:18" ht="9" customHeight="1" x14ac:dyDescent="0.25">
      <c r="A62" s="466"/>
      <c r="B62" s="466"/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466"/>
      <c r="O62" s="466"/>
      <c r="P62" s="466"/>
      <c r="Q62" s="466"/>
      <c r="R62" s="466"/>
    </row>
    <row r="63" spans="1:18" x14ac:dyDescent="0.25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</row>
    <row r="64" spans="1:18" x14ac:dyDescent="0.25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</row>
    <row r="65" spans="1:21" x14ac:dyDescent="0.25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</row>
    <row r="66" spans="1:21" ht="7.5" customHeight="1" thickBot="1" x14ac:dyDescent="0.3">
      <c r="A66" s="293"/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</row>
    <row r="67" spans="1:21" ht="15.75" thickBot="1" x14ac:dyDescent="0.3">
      <c r="A67" s="9"/>
      <c r="B67" s="230" t="s">
        <v>369</v>
      </c>
      <c r="C67" s="231"/>
      <c r="D67" s="231"/>
      <c r="E67" s="231"/>
      <c r="F67" s="231"/>
      <c r="G67" s="231"/>
      <c r="H67" s="231"/>
      <c r="I67" s="232"/>
      <c r="J67" s="329" t="s">
        <v>175</v>
      </c>
      <c r="K67" s="330"/>
      <c r="L67" s="329" t="s">
        <v>176</v>
      </c>
      <c r="M67" s="330"/>
      <c r="N67" s="329" t="s">
        <v>177</v>
      </c>
      <c r="O67" s="330"/>
      <c r="P67" s="329" t="s">
        <v>178</v>
      </c>
      <c r="Q67" s="330"/>
      <c r="R67" s="9"/>
    </row>
    <row r="68" spans="1:21" ht="45" customHeight="1" x14ac:dyDescent="0.25">
      <c r="A68" s="9"/>
      <c r="B68" s="211" t="s">
        <v>229</v>
      </c>
      <c r="C68" s="501" t="s">
        <v>179</v>
      </c>
      <c r="D68" s="502"/>
      <c r="E68" s="502"/>
      <c r="F68" s="502"/>
      <c r="G68" s="503"/>
      <c r="H68" s="212" t="s">
        <v>180</v>
      </c>
      <c r="I68" s="212"/>
      <c r="J68" s="505" t="s">
        <v>148</v>
      </c>
      <c r="K68" s="317"/>
      <c r="L68" s="317" t="s">
        <v>181</v>
      </c>
      <c r="M68" s="317"/>
      <c r="N68" s="332" t="str">
        <f>IF(F15="Ja","Vedligeholdelse","Støttede arbejder")</f>
        <v>Støttede arbejder</v>
      </c>
      <c r="O68" s="332"/>
      <c r="P68" s="332" t="s">
        <v>357</v>
      </c>
      <c r="Q68" s="332"/>
      <c r="R68" s="9"/>
    </row>
    <row r="69" spans="1:21" x14ac:dyDescent="0.25">
      <c r="A69" s="9"/>
      <c r="B69" s="205" t="s">
        <v>182</v>
      </c>
      <c r="C69" s="333" t="s">
        <v>183</v>
      </c>
      <c r="D69" s="334"/>
      <c r="E69" s="334"/>
      <c r="F69" s="334"/>
      <c r="G69" s="335"/>
      <c r="H69" s="209" t="s">
        <v>184</v>
      </c>
      <c r="I69" s="210">
        <v>0</v>
      </c>
      <c r="J69" s="280">
        <f t="shared" ref="J69:J86" si="0">+L69+N69+P69</f>
        <v>0</v>
      </c>
      <c r="K69" s="280"/>
      <c r="L69" s="272">
        <v>0</v>
      </c>
      <c r="M69" s="272"/>
      <c r="N69" s="272">
        <v>0</v>
      </c>
      <c r="O69" s="272"/>
      <c r="P69" s="272">
        <v>0</v>
      </c>
      <c r="Q69" s="272"/>
      <c r="R69" s="9"/>
    </row>
    <row r="70" spans="1:21" x14ac:dyDescent="0.25">
      <c r="A70" s="9"/>
      <c r="B70" s="2" t="s">
        <v>185</v>
      </c>
      <c r="C70" s="260" t="s">
        <v>186</v>
      </c>
      <c r="D70" s="261"/>
      <c r="E70" s="261"/>
      <c r="F70" s="261"/>
      <c r="G70" s="262"/>
      <c r="H70" s="7" t="s">
        <v>184</v>
      </c>
      <c r="I70" s="6">
        <v>0</v>
      </c>
      <c r="J70" s="280">
        <f t="shared" si="0"/>
        <v>0</v>
      </c>
      <c r="K70" s="280"/>
      <c r="L70" s="272">
        <v>0</v>
      </c>
      <c r="M70" s="272"/>
      <c r="N70" s="272">
        <v>0</v>
      </c>
      <c r="O70" s="272"/>
      <c r="P70" s="272">
        <v>0</v>
      </c>
      <c r="Q70" s="272"/>
      <c r="R70" s="9"/>
    </row>
    <row r="71" spans="1:21" x14ac:dyDescent="0.25">
      <c r="A71" s="9"/>
      <c r="B71" s="2" t="s">
        <v>187</v>
      </c>
      <c r="C71" s="260" t="s">
        <v>188</v>
      </c>
      <c r="D71" s="261"/>
      <c r="E71" s="261"/>
      <c r="F71" s="261"/>
      <c r="G71" s="262"/>
      <c r="H71" s="7" t="s">
        <v>184</v>
      </c>
      <c r="I71" s="6">
        <v>0</v>
      </c>
      <c r="J71" s="280">
        <f t="shared" si="0"/>
        <v>0</v>
      </c>
      <c r="K71" s="280"/>
      <c r="L71" s="272">
        <v>0</v>
      </c>
      <c r="M71" s="272"/>
      <c r="N71" s="272">
        <v>0</v>
      </c>
      <c r="O71" s="272"/>
      <c r="P71" s="272">
        <v>0</v>
      </c>
      <c r="Q71" s="272"/>
      <c r="R71" s="9"/>
    </row>
    <row r="72" spans="1:21" x14ac:dyDescent="0.25">
      <c r="A72" s="9"/>
      <c r="B72" s="2" t="s">
        <v>189</v>
      </c>
      <c r="C72" s="260" t="s">
        <v>190</v>
      </c>
      <c r="D72" s="261"/>
      <c r="E72" s="261"/>
      <c r="F72" s="261"/>
      <c r="G72" s="262"/>
      <c r="H72" s="7" t="s">
        <v>191</v>
      </c>
      <c r="I72" s="6">
        <v>0</v>
      </c>
      <c r="J72" s="280">
        <f t="shared" si="0"/>
        <v>0</v>
      </c>
      <c r="K72" s="280"/>
      <c r="L72" s="272">
        <v>0</v>
      </c>
      <c r="M72" s="272"/>
      <c r="N72" s="272">
        <v>0</v>
      </c>
      <c r="O72" s="272"/>
      <c r="P72" s="272">
        <v>0</v>
      </c>
      <c r="Q72" s="272"/>
      <c r="R72" s="9"/>
    </row>
    <row r="73" spans="1:21" x14ac:dyDescent="0.25">
      <c r="A73" s="9"/>
      <c r="B73" s="2" t="s">
        <v>192</v>
      </c>
      <c r="C73" s="260" t="s">
        <v>193</v>
      </c>
      <c r="D73" s="261"/>
      <c r="E73" s="261"/>
      <c r="F73" s="261"/>
      <c r="G73" s="262"/>
      <c r="H73" s="7" t="s">
        <v>191</v>
      </c>
      <c r="I73" s="6">
        <v>0</v>
      </c>
      <c r="J73" s="280">
        <f t="shared" si="0"/>
        <v>0</v>
      </c>
      <c r="K73" s="280"/>
      <c r="L73" s="272">
        <v>0</v>
      </c>
      <c r="M73" s="272"/>
      <c r="N73" s="272">
        <v>0</v>
      </c>
      <c r="O73" s="272"/>
      <c r="P73" s="272">
        <v>0</v>
      </c>
      <c r="Q73" s="272"/>
      <c r="R73" s="9"/>
    </row>
    <row r="74" spans="1:21" x14ac:dyDescent="0.25">
      <c r="A74" s="9"/>
      <c r="B74" s="2" t="s">
        <v>194</v>
      </c>
      <c r="C74" s="260" t="s">
        <v>195</v>
      </c>
      <c r="D74" s="261"/>
      <c r="E74" s="261"/>
      <c r="F74" s="261"/>
      <c r="G74" s="262"/>
      <c r="H74" s="7" t="s">
        <v>191</v>
      </c>
      <c r="I74" s="6">
        <v>0</v>
      </c>
      <c r="J74" s="280">
        <f t="shared" si="0"/>
        <v>0</v>
      </c>
      <c r="K74" s="280"/>
      <c r="L74" s="272">
        <v>0</v>
      </c>
      <c r="M74" s="272"/>
      <c r="N74" s="272">
        <v>0</v>
      </c>
      <c r="O74" s="272"/>
      <c r="P74" s="272">
        <v>0</v>
      </c>
      <c r="Q74" s="272"/>
      <c r="R74" s="9"/>
    </row>
    <row r="75" spans="1:21" x14ac:dyDescent="0.25">
      <c r="A75" s="9"/>
      <c r="B75" s="2" t="s">
        <v>196</v>
      </c>
      <c r="C75" s="260" t="s">
        <v>197</v>
      </c>
      <c r="D75" s="261"/>
      <c r="E75" s="261"/>
      <c r="F75" s="261"/>
      <c r="G75" s="262"/>
      <c r="H75" s="7" t="s">
        <v>191</v>
      </c>
      <c r="I75" s="6">
        <v>0</v>
      </c>
      <c r="J75" s="280">
        <f t="shared" si="0"/>
        <v>0</v>
      </c>
      <c r="K75" s="280"/>
      <c r="L75" s="272">
        <v>0</v>
      </c>
      <c r="M75" s="272"/>
      <c r="N75" s="272">
        <v>0</v>
      </c>
      <c r="O75" s="272"/>
      <c r="P75" s="272">
        <v>0</v>
      </c>
      <c r="Q75" s="272"/>
      <c r="R75" s="9"/>
    </row>
    <row r="76" spans="1:21" x14ac:dyDescent="0.25">
      <c r="A76" s="9"/>
      <c r="B76" s="2" t="s">
        <v>198</v>
      </c>
      <c r="C76" s="260" t="s">
        <v>199</v>
      </c>
      <c r="D76" s="261"/>
      <c r="E76" s="261"/>
      <c r="F76" s="261"/>
      <c r="G76" s="262"/>
      <c r="H76" s="7" t="s">
        <v>200</v>
      </c>
      <c r="I76" s="6">
        <v>0</v>
      </c>
      <c r="J76" s="280">
        <f t="shared" si="0"/>
        <v>0</v>
      </c>
      <c r="K76" s="280"/>
      <c r="L76" s="272">
        <v>0</v>
      </c>
      <c r="M76" s="272"/>
      <c r="N76" s="272">
        <v>0</v>
      </c>
      <c r="O76" s="272"/>
      <c r="P76" s="272">
        <v>0</v>
      </c>
      <c r="Q76" s="272"/>
      <c r="R76" s="9"/>
    </row>
    <row r="77" spans="1:21" x14ac:dyDescent="0.25">
      <c r="A77" s="9"/>
      <c r="B77" s="2" t="s">
        <v>201</v>
      </c>
      <c r="C77" s="260" t="s">
        <v>202</v>
      </c>
      <c r="D77" s="261"/>
      <c r="E77" s="261"/>
      <c r="F77" s="261"/>
      <c r="G77" s="262"/>
      <c r="H77" s="7" t="s">
        <v>191</v>
      </c>
      <c r="I77" s="6" t="s">
        <v>264</v>
      </c>
      <c r="J77" s="280">
        <f t="shared" si="0"/>
        <v>0</v>
      </c>
      <c r="K77" s="280"/>
      <c r="L77" s="272">
        <v>0</v>
      </c>
      <c r="M77" s="272"/>
      <c r="N77" s="272">
        <v>0</v>
      </c>
      <c r="O77" s="272"/>
      <c r="P77" s="272">
        <v>0</v>
      </c>
      <c r="Q77" s="272"/>
      <c r="R77" s="9"/>
    </row>
    <row r="78" spans="1:21" x14ac:dyDescent="0.25">
      <c r="A78" s="9"/>
      <c r="B78" s="2" t="s">
        <v>203</v>
      </c>
      <c r="C78" s="260" t="s">
        <v>204</v>
      </c>
      <c r="D78" s="261"/>
      <c r="E78" s="261"/>
      <c r="F78" s="261"/>
      <c r="G78" s="262"/>
      <c r="H78" s="7" t="s">
        <v>191</v>
      </c>
      <c r="I78" s="6">
        <v>0</v>
      </c>
      <c r="J78" s="280">
        <f t="shared" si="0"/>
        <v>0</v>
      </c>
      <c r="K78" s="280"/>
      <c r="L78" s="272">
        <v>0</v>
      </c>
      <c r="M78" s="272"/>
      <c r="N78" s="272">
        <v>0</v>
      </c>
      <c r="O78" s="272"/>
      <c r="P78" s="272">
        <v>0</v>
      </c>
      <c r="Q78" s="272"/>
      <c r="R78" s="9"/>
    </row>
    <row r="79" spans="1:21" x14ac:dyDescent="0.25">
      <c r="A79" s="9"/>
      <c r="B79" s="2" t="s">
        <v>205</v>
      </c>
      <c r="C79" s="260" t="s">
        <v>206</v>
      </c>
      <c r="D79" s="261"/>
      <c r="E79" s="261"/>
      <c r="F79" s="261"/>
      <c r="G79" s="262"/>
      <c r="H79" s="7" t="s">
        <v>207</v>
      </c>
      <c r="I79" s="6">
        <v>0</v>
      </c>
      <c r="J79" s="280">
        <f t="shared" si="0"/>
        <v>0</v>
      </c>
      <c r="K79" s="280"/>
      <c r="L79" s="272">
        <v>0</v>
      </c>
      <c r="M79" s="272"/>
      <c r="N79" s="272">
        <v>0</v>
      </c>
      <c r="O79" s="272"/>
      <c r="P79" s="272">
        <v>0</v>
      </c>
      <c r="Q79" s="272"/>
      <c r="R79" s="9"/>
      <c r="U79" s="167"/>
    </row>
    <row r="80" spans="1:21" x14ac:dyDescent="0.25">
      <c r="A80" s="9"/>
      <c r="B80" s="2" t="s">
        <v>208</v>
      </c>
      <c r="C80" s="260" t="s">
        <v>209</v>
      </c>
      <c r="D80" s="261"/>
      <c r="E80" s="261"/>
      <c r="F80" s="261"/>
      <c r="G80" s="262"/>
      <c r="H80" s="7" t="s">
        <v>207</v>
      </c>
      <c r="I80" s="6">
        <v>0</v>
      </c>
      <c r="J80" s="280">
        <f t="shared" si="0"/>
        <v>0</v>
      </c>
      <c r="K80" s="280"/>
      <c r="L80" s="272">
        <v>0</v>
      </c>
      <c r="M80" s="272"/>
      <c r="N80" s="272">
        <v>0</v>
      </c>
      <c r="O80" s="272"/>
      <c r="P80" s="272">
        <v>0</v>
      </c>
      <c r="Q80" s="272"/>
      <c r="R80" s="9"/>
      <c r="U80" s="167"/>
    </row>
    <row r="81" spans="1:24" x14ac:dyDescent="0.25">
      <c r="A81" s="9"/>
      <c r="B81" s="2" t="s">
        <v>210</v>
      </c>
      <c r="C81" s="260" t="s">
        <v>211</v>
      </c>
      <c r="D81" s="261"/>
      <c r="E81" s="261"/>
      <c r="F81" s="261"/>
      <c r="G81" s="262"/>
      <c r="H81" s="7" t="s">
        <v>191</v>
      </c>
      <c r="I81" s="6">
        <v>0</v>
      </c>
      <c r="J81" s="280">
        <f t="shared" si="0"/>
        <v>0</v>
      </c>
      <c r="K81" s="280"/>
      <c r="L81" s="272">
        <v>0</v>
      </c>
      <c r="M81" s="272"/>
      <c r="N81" s="272">
        <v>0</v>
      </c>
      <c r="O81" s="272"/>
      <c r="P81" s="272">
        <v>0</v>
      </c>
      <c r="Q81" s="272"/>
      <c r="R81" s="9"/>
    </row>
    <row r="82" spans="1:24" x14ac:dyDescent="0.25">
      <c r="A82" s="9"/>
      <c r="B82" s="2" t="s">
        <v>212</v>
      </c>
      <c r="C82" s="260" t="s">
        <v>213</v>
      </c>
      <c r="D82" s="261"/>
      <c r="E82" s="261"/>
      <c r="F82" s="261"/>
      <c r="G82" s="262"/>
      <c r="H82" s="7" t="s">
        <v>207</v>
      </c>
      <c r="I82" s="6">
        <v>0</v>
      </c>
      <c r="J82" s="280">
        <f>+L82+N82+P82</f>
        <v>0</v>
      </c>
      <c r="K82" s="280"/>
      <c r="L82" s="272">
        <v>0</v>
      </c>
      <c r="M82" s="272"/>
      <c r="N82" s="272">
        <v>0</v>
      </c>
      <c r="O82" s="272"/>
      <c r="P82" s="272">
        <v>0</v>
      </c>
      <c r="Q82" s="272"/>
      <c r="R82" s="9"/>
    </row>
    <row r="83" spans="1:24" x14ac:dyDescent="0.25">
      <c r="A83" s="9"/>
      <c r="B83" s="2" t="s">
        <v>214</v>
      </c>
      <c r="C83" s="260" t="s">
        <v>215</v>
      </c>
      <c r="D83" s="261"/>
      <c r="E83" s="261"/>
      <c r="F83" s="261"/>
      <c r="G83" s="262"/>
      <c r="H83" s="7" t="s">
        <v>207</v>
      </c>
      <c r="I83" s="6">
        <v>0</v>
      </c>
      <c r="J83" s="280">
        <f t="shared" si="0"/>
        <v>0</v>
      </c>
      <c r="K83" s="280"/>
      <c r="L83" s="272">
        <v>0</v>
      </c>
      <c r="M83" s="272"/>
      <c r="N83" s="272">
        <v>0</v>
      </c>
      <c r="O83" s="272"/>
      <c r="P83" s="272">
        <v>0</v>
      </c>
      <c r="Q83" s="272"/>
      <c r="R83" s="9"/>
      <c r="U83" s="167"/>
    </row>
    <row r="84" spans="1:24" x14ac:dyDescent="0.25">
      <c r="A84" s="9"/>
      <c r="B84" s="2" t="s">
        <v>216</v>
      </c>
      <c r="C84" s="260" t="s">
        <v>217</v>
      </c>
      <c r="D84" s="261"/>
      <c r="E84" s="261"/>
      <c r="F84" s="261"/>
      <c r="G84" s="262"/>
      <c r="H84" s="7" t="s">
        <v>207</v>
      </c>
      <c r="I84" s="6">
        <v>0</v>
      </c>
      <c r="J84" s="280">
        <f t="shared" si="0"/>
        <v>0</v>
      </c>
      <c r="K84" s="280"/>
      <c r="L84" s="272">
        <v>0</v>
      </c>
      <c r="M84" s="272"/>
      <c r="N84" s="272">
        <v>0</v>
      </c>
      <c r="O84" s="272"/>
      <c r="P84" s="272">
        <v>0</v>
      </c>
      <c r="Q84" s="272"/>
      <c r="R84" s="9"/>
    </row>
    <row r="85" spans="1:24" x14ac:dyDescent="0.25">
      <c r="A85" s="9"/>
      <c r="B85" s="2" t="s">
        <v>218</v>
      </c>
      <c r="C85" s="260" t="s">
        <v>219</v>
      </c>
      <c r="D85" s="261"/>
      <c r="E85" s="261"/>
      <c r="F85" s="261"/>
      <c r="G85" s="262"/>
      <c r="H85" s="7" t="s">
        <v>207</v>
      </c>
      <c r="I85" s="6">
        <v>0</v>
      </c>
      <c r="J85" s="280">
        <f t="shared" si="0"/>
        <v>0</v>
      </c>
      <c r="K85" s="280"/>
      <c r="L85" s="272">
        <v>0</v>
      </c>
      <c r="M85" s="272"/>
      <c r="N85" s="272">
        <v>0</v>
      </c>
      <c r="O85" s="272"/>
      <c r="P85" s="272">
        <v>0</v>
      </c>
      <c r="Q85" s="272"/>
      <c r="R85" s="9"/>
    </row>
    <row r="86" spans="1:24" x14ac:dyDescent="0.25">
      <c r="A86" s="9"/>
      <c r="B86" s="2" t="s">
        <v>220</v>
      </c>
      <c r="C86" s="254" t="s">
        <v>221</v>
      </c>
      <c r="D86" s="254"/>
      <c r="E86" s="254"/>
      <c r="F86" s="254"/>
      <c r="G86" s="254"/>
      <c r="H86" s="8" t="s">
        <v>200</v>
      </c>
      <c r="I86" s="6">
        <v>0</v>
      </c>
      <c r="J86" s="325">
        <f t="shared" si="0"/>
        <v>0</v>
      </c>
      <c r="K86" s="325"/>
      <c r="L86" s="272">
        <v>0</v>
      </c>
      <c r="M86" s="272"/>
      <c r="N86" s="272">
        <v>0</v>
      </c>
      <c r="O86" s="272"/>
      <c r="P86" s="272">
        <v>0</v>
      </c>
      <c r="Q86" s="272"/>
      <c r="R86" s="9"/>
      <c r="U86" s="167"/>
    </row>
    <row r="87" spans="1:24" x14ac:dyDescent="0.25">
      <c r="A87" s="9"/>
      <c r="B87" s="9"/>
      <c r="C87" s="274" t="s">
        <v>222</v>
      </c>
      <c r="D87" s="274"/>
      <c r="E87" s="274"/>
      <c r="F87" s="274"/>
      <c r="G87" s="274"/>
      <c r="H87" s="274"/>
      <c r="I87" s="274"/>
      <c r="J87" s="274"/>
      <c r="K87" s="274"/>
      <c r="L87" s="278">
        <f>IF(SUM(L69:L86)=0,0,SUM(L69:M86)/(SUM($J$69:$J$86)))</f>
        <v>0</v>
      </c>
      <c r="M87" s="278"/>
      <c r="N87" s="278">
        <f>IF(SUM(N69:N86)=0,0,SUM(N69:O86)/(SUM($J$69:$J$86)))</f>
        <v>0</v>
      </c>
      <c r="O87" s="278"/>
      <c r="P87" s="278">
        <f>IF(SUM(P69:P86)=0,0,SUM(P69:Q86)/(SUM($J$69:$J$86)))</f>
        <v>0</v>
      </c>
      <c r="Q87" s="278"/>
      <c r="R87" s="9"/>
      <c r="U87" s="168"/>
    </row>
    <row r="88" spans="1:24" x14ac:dyDescent="0.25">
      <c r="A88" s="9"/>
      <c r="B88" s="9"/>
      <c r="C88" s="281" t="s">
        <v>223</v>
      </c>
      <c r="D88" s="282"/>
      <c r="E88" s="282"/>
      <c r="F88" s="282"/>
      <c r="G88" s="282"/>
      <c r="H88" s="282"/>
      <c r="I88" s="282"/>
      <c r="J88" s="282"/>
      <c r="K88" s="282"/>
      <c r="L88" s="282"/>
      <c r="M88" s="283"/>
      <c r="N88" s="24"/>
      <c r="O88" s="24"/>
      <c r="P88" s="24"/>
      <c r="Q88" s="24"/>
      <c r="R88" s="25"/>
      <c r="U88" s="167"/>
    </row>
    <row r="89" spans="1:24" x14ac:dyDescent="0.25">
      <c r="A89" s="9"/>
      <c r="B89" s="9"/>
      <c r="C89" s="281" t="s">
        <v>224</v>
      </c>
      <c r="D89" s="282"/>
      <c r="E89" s="282"/>
      <c r="F89" s="282"/>
      <c r="G89" s="282"/>
      <c r="H89" s="282"/>
      <c r="I89" s="282"/>
      <c r="J89" s="282"/>
      <c r="K89" s="283"/>
      <c r="L89" s="318">
        <f>IF(L69+L71+L72=0,0,(L69+L71+L72)/($J$69+$J$71+$J$72))</f>
        <v>0</v>
      </c>
      <c r="M89" s="319"/>
      <c r="N89" s="318">
        <f>IF(N69+N71+N72=0,0,(N69+N71+N72)/($J$69+$J$71+$J$72))</f>
        <v>0</v>
      </c>
      <c r="O89" s="319"/>
      <c r="P89" s="318">
        <f>IF(P69+P71+P72=0,0,(P69+P71+P72)/($J$69+$J$71+$J$72))</f>
        <v>0</v>
      </c>
      <c r="Q89" s="319"/>
      <c r="R89" s="9"/>
    </row>
    <row r="90" spans="1:24" x14ac:dyDescent="0.25">
      <c r="A90" s="9"/>
      <c r="B90" s="2" t="s">
        <v>225</v>
      </c>
      <c r="C90" s="260" t="s">
        <v>226</v>
      </c>
      <c r="D90" s="261"/>
      <c r="E90" s="261"/>
      <c r="F90" s="261"/>
      <c r="G90" s="261"/>
      <c r="H90" s="261"/>
      <c r="I90" s="262"/>
      <c r="J90" s="257">
        <v>0</v>
      </c>
      <c r="K90" s="257"/>
      <c r="L90" s="241">
        <f>IF($L$69+$L$71+$L$72&gt;0,($L$69+$L$71+$L$72)/($J$69+$J$71+$J$72)*(J90),IF($L$69+$L$71+$L$72=0,0))</f>
        <v>0</v>
      </c>
      <c r="M90" s="241"/>
      <c r="N90" s="241">
        <f>IF(N69+N71+N72&gt;0,(N69+N71+N72)/(J69+J71+J72)*(J90),IF(N69+N71+N72=0,0))</f>
        <v>0</v>
      </c>
      <c r="O90" s="241"/>
      <c r="P90" s="241">
        <f>IF($P$69+$P$71+$P$72&gt;0,($P$69+$P$71+$P$72)/($J$69+$J$71+$J$72)*(J90),IF($P$69+$P$71+$P$72=0,0))</f>
        <v>0</v>
      </c>
      <c r="Q90" s="241"/>
      <c r="R90" s="9"/>
      <c r="T90" s="169"/>
    </row>
    <row r="91" spans="1:24" ht="15.75" thickBot="1" x14ac:dyDescent="0.3">
      <c r="A91" s="9"/>
      <c r="B91" s="3" t="s">
        <v>227</v>
      </c>
      <c r="C91" s="266" t="s">
        <v>228</v>
      </c>
      <c r="D91" s="267"/>
      <c r="E91" s="267"/>
      <c r="F91" s="267"/>
      <c r="G91" s="267"/>
      <c r="H91" s="267"/>
      <c r="I91" s="268"/>
      <c r="J91" s="255">
        <v>0</v>
      </c>
      <c r="K91" s="255"/>
      <c r="L91" s="241">
        <f>J91*L87</f>
        <v>0</v>
      </c>
      <c r="M91" s="241"/>
      <c r="N91" s="241">
        <f>J91*N87</f>
        <v>0</v>
      </c>
      <c r="O91" s="241"/>
      <c r="P91" s="241">
        <f>J91*P87</f>
        <v>0</v>
      </c>
      <c r="Q91" s="241"/>
      <c r="R91" s="9"/>
      <c r="V91" s="168"/>
      <c r="W91" s="168"/>
      <c r="X91" s="168"/>
    </row>
    <row r="92" spans="1:24" ht="15.75" thickBot="1" x14ac:dyDescent="0.3">
      <c r="A92" s="9"/>
      <c r="B92" s="11" t="s">
        <v>229</v>
      </c>
      <c r="C92" s="230" t="s">
        <v>230</v>
      </c>
      <c r="D92" s="231"/>
      <c r="E92" s="231"/>
      <c r="F92" s="231"/>
      <c r="G92" s="231"/>
      <c r="H92" s="231"/>
      <c r="I92" s="232"/>
      <c r="J92" s="236">
        <f>SUM(L92:Q92)</f>
        <v>0</v>
      </c>
      <c r="K92" s="237"/>
      <c r="L92" s="236">
        <f>SUM(L69:L86)+L90+L91</f>
        <v>0</v>
      </c>
      <c r="M92" s="237"/>
      <c r="N92" s="236">
        <f>SUM(N69:N86)+N90+N91</f>
        <v>0</v>
      </c>
      <c r="O92" s="237"/>
      <c r="P92" s="236">
        <f>SUM(P69:P86)+P90+P91</f>
        <v>0</v>
      </c>
      <c r="Q92" s="237"/>
      <c r="R92" s="9"/>
    </row>
    <row r="93" spans="1:24" x14ac:dyDescent="0.25">
      <c r="A93" s="466"/>
      <c r="B93" s="466"/>
      <c r="C93" s="466"/>
      <c r="D93" s="466"/>
      <c r="E93" s="466"/>
      <c r="F93" s="466"/>
      <c r="G93" s="466"/>
      <c r="H93" s="466"/>
      <c r="I93" s="466"/>
      <c r="J93" s="466"/>
      <c r="K93" s="466"/>
      <c r="L93" s="466"/>
      <c r="M93" s="466"/>
      <c r="N93" s="466"/>
      <c r="O93" s="466"/>
      <c r="P93" s="466"/>
      <c r="Q93" s="466"/>
      <c r="R93" s="466"/>
    </row>
    <row r="94" spans="1:24" ht="15.75" thickBot="1" x14ac:dyDescent="0.3">
      <c r="A94" s="9"/>
      <c r="B94" s="206" t="s">
        <v>232</v>
      </c>
      <c r="C94" s="320" t="s">
        <v>371</v>
      </c>
      <c r="D94" s="321"/>
      <c r="E94" s="321"/>
      <c r="F94" s="321"/>
      <c r="G94" s="321"/>
      <c r="H94" s="321"/>
      <c r="I94" s="321"/>
      <c r="J94" s="238">
        <f>L94+N94+P94</f>
        <v>0</v>
      </c>
      <c r="K94" s="238"/>
      <c r="L94" s="255">
        <v>0</v>
      </c>
      <c r="M94" s="255"/>
      <c r="N94" s="255">
        <v>0</v>
      </c>
      <c r="O94" s="255"/>
      <c r="P94" s="255">
        <v>0</v>
      </c>
      <c r="Q94" s="255"/>
      <c r="R94" s="33"/>
    </row>
    <row r="95" spans="1:24" ht="15.75" thickBot="1" x14ac:dyDescent="0.3">
      <c r="A95" s="9"/>
      <c r="B95" s="11" t="s">
        <v>232</v>
      </c>
      <c r="C95" s="243" t="s">
        <v>233</v>
      </c>
      <c r="D95" s="244"/>
      <c r="E95" s="244"/>
      <c r="F95" s="244"/>
      <c r="G95" s="244"/>
      <c r="H95" s="244"/>
      <c r="I95" s="245"/>
      <c r="J95" s="236">
        <f>SUM(J93:J94)</f>
        <v>0</v>
      </c>
      <c r="K95" s="237"/>
      <c r="L95" s="236">
        <f>SUM(L93:L94)</f>
        <v>0</v>
      </c>
      <c r="M95" s="237"/>
      <c r="N95" s="236">
        <f>SUM(N93:N94)</f>
        <v>0</v>
      </c>
      <c r="O95" s="237"/>
      <c r="P95" s="236">
        <f>SUM(P93:P94)</f>
        <v>0</v>
      </c>
      <c r="Q95" s="237"/>
      <c r="R95" s="9"/>
    </row>
    <row r="96" spans="1:24" ht="15" customHeight="1" x14ac:dyDescent="0.25">
      <c r="A96" s="9"/>
      <c r="B96" s="207" t="s">
        <v>237</v>
      </c>
      <c r="C96" s="258" t="s">
        <v>234</v>
      </c>
      <c r="D96" s="258"/>
      <c r="E96" s="258"/>
      <c r="F96" s="258"/>
      <c r="G96" s="258"/>
      <c r="H96" s="264">
        <f>IF(J92+J95=0,0,J96/(J92+J95))</f>
        <v>0</v>
      </c>
      <c r="I96" s="265"/>
      <c r="J96" s="257">
        <v>0</v>
      </c>
      <c r="K96" s="257"/>
      <c r="L96" s="241">
        <f>(L$95+L$92)*$H$96</f>
        <v>0</v>
      </c>
      <c r="M96" s="241"/>
      <c r="N96" s="241">
        <f t="shared" ref="N96" si="1">(N$95+N$92)*$H$96</f>
        <v>0</v>
      </c>
      <c r="O96" s="241"/>
      <c r="P96" s="241">
        <f t="shared" ref="P96" si="2">(P$95+P$92)*$H$96</f>
        <v>0</v>
      </c>
      <c r="Q96" s="241"/>
      <c r="R96" s="9"/>
      <c r="V96" s="168"/>
    </row>
    <row r="97" spans="1:22" x14ac:dyDescent="0.25">
      <c r="A97" s="9"/>
      <c r="B97" s="207" t="s">
        <v>237</v>
      </c>
      <c r="C97" s="254" t="s">
        <v>235</v>
      </c>
      <c r="D97" s="254"/>
      <c r="E97" s="254"/>
      <c r="F97" s="254"/>
      <c r="G97" s="254"/>
      <c r="H97" s="254"/>
      <c r="I97" s="254"/>
      <c r="J97" s="255">
        <v>0</v>
      </c>
      <c r="K97" s="255"/>
      <c r="L97" s="238">
        <f>+J97*L87</f>
        <v>0</v>
      </c>
      <c r="M97" s="238"/>
      <c r="N97" s="238">
        <f>+J97*N87</f>
        <v>0</v>
      </c>
      <c r="O97" s="238"/>
      <c r="P97" s="238">
        <f>+J97*P87</f>
        <v>0</v>
      </c>
      <c r="Q97" s="238"/>
      <c r="R97" s="9"/>
    </row>
    <row r="98" spans="1:22" ht="15.75" thickBot="1" x14ac:dyDescent="0.3">
      <c r="A98" s="9"/>
      <c r="B98" s="207" t="s">
        <v>237</v>
      </c>
      <c r="C98" s="259" t="s">
        <v>236</v>
      </c>
      <c r="D98" s="259"/>
      <c r="E98" s="259"/>
      <c r="F98" s="259"/>
      <c r="G98" s="259"/>
      <c r="H98" s="259"/>
      <c r="I98" s="259"/>
      <c r="J98" s="263">
        <v>0</v>
      </c>
      <c r="K98" s="263"/>
      <c r="L98" s="240">
        <f>+J98*L87</f>
        <v>0</v>
      </c>
      <c r="M98" s="240"/>
      <c r="N98" s="240">
        <f>+J98*N87</f>
        <v>0</v>
      </c>
      <c r="O98" s="240"/>
      <c r="P98" s="240">
        <f>+J98*P87</f>
        <v>0</v>
      </c>
      <c r="Q98" s="240"/>
      <c r="R98" s="9"/>
    </row>
    <row r="99" spans="1:22" ht="15.75" thickBot="1" x14ac:dyDescent="0.3">
      <c r="A99" s="9"/>
      <c r="B99" s="11" t="s">
        <v>237</v>
      </c>
      <c r="C99" s="243" t="s">
        <v>238</v>
      </c>
      <c r="D99" s="244"/>
      <c r="E99" s="244"/>
      <c r="F99" s="244"/>
      <c r="G99" s="244"/>
      <c r="H99" s="244"/>
      <c r="I99" s="245"/>
      <c r="J99" s="236">
        <f>SUM(L99:Q99)</f>
        <v>0</v>
      </c>
      <c r="K99" s="237"/>
      <c r="L99" s="236">
        <f>SUM(L96:L98)</f>
        <v>0</v>
      </c>
      <c r="M99" s="237"/>
      <c r="N99" s="236">
        <f>SUM(N96:N98)</f>
        <v>0</v>
      </c>
      <c r="O99" s="237"/>
      <c r="P99" s="236">
        <f>SUM(P96:P98)</f>
        <v>0</v>
      </c>
      <c r="Q99" s="237"/>
      <c r="R99" s="9"/>
      <c r="U99" s="168"/>
    </row>
    <row r="100" spans="1:22" ht="15" customHeight="1" x14ac:dyDescent="0.25">
      <c r="A100" s="9"/>
      <c r="B100" s="207" t="s">
        <v>241</v>
      </c>
      <c r="C100" s="258" t="s">
        <v>239</v>
      </c>
      <c r="D100" s="258"/>
      <c r="E100" s="258"/>
      <c r="F100" s="258"/>
      <c r="G100" s="258"/>
      <c r="H100" s="258"/>
      <c r="I100" s="258"/>
      <c r="J100" s="257">
        <v>0</v>
      </c>
      <c r="K100" s="257"/>
      <c r="L100" s="241">
        <f>+J100*L87</f>
        <v>0</v>
      </c>
      <c r="M100" s="241"/>
      <c r="N100" s="241">
        <f>+J100*N87</f>
        <v>0</v>
      </c>
      <c r="O100" s="241"/>
      <c r="P100" s="241">
        <f>+J100*P87</f>
        <v>0</v>
      </c>
      <c r="Q100" s="241"/>
      <c r="R100" s="9"/>
    </row>
    <row r="101" spans="1:22" ht="15.75" thickBot="1" x14ac:dyDescent="0.3">
      <c r="A101" s="9"/>
      <c r="B101" s="207" t="s">
        <v>241</v>
      </c>
      <c r="C101" s="259" t="s">
        <v>240</v>
      </c>
      <c r="D101" s="259"/>
      <c r="E101" s="259"/>
      <c r="F101" s="259"/>
      <c r="G101" s="259"/>
      <c r="H101" s="259"/>
      <c r="I101" s="259"/>
      <c r="J101" s="255">
        <v>0</v>
      </c>
      <c r="K101" s="255"/>
      <c r="L101" s="238">
        <f>+J101*L87</f>
        <v>0</v>
      </c>
      <c r="M101" s="238"/>
      <c r="N101" s="238">
        <f>+J101*N87</f>
        <v>0</v>
      </c>
      <c r="O101" s="238"/>
      <c r="P101" s="238">
        <f>+J101*P87</f>
        <v>0</v>
      </c>
      <c r="Q101" s="238"/>
      <c r="R101" s="9"/>
    </row>
    <row r="102" spans="1:22" ht="15.75" thickBot="1" x14ac:dyDescent="0.3">
      <c r="A102" s="9"/>
      <c r="B102" s="11" t="s">
        <v>241</v>
      </c>
      <c r="C102" s="243" t="s">
        <v>242</v>
      </c>
      <c r="D102" s="244"/>
      <c r="E102" s="244"/>
      <c r="F102" s="244"/>
      <c r="G102" s="244"/>
      <c r="H102" s="244"/>
      <c r="I102" s="245"/>
      <c r="J102" s="236">
        <f>SUM(L102:Q102)</f>
        <v>0</v>
      </c>
      <c r="K102" s="237"/>
      <c r="L102" s="236">
        <f>SUM(L100:L101)</f>
        <v>0</v>
      </c>
      <c r="M102" s="237"/>
      <c r="N102" s="236">
        <f>SUM(N100:N101)</f>
        <v>0</v>
      </c>
      <c r="O102" s="237"/>
      <c r="P102" s="236">
        <f>SUM(P100:P101)</f>
        <v>0</v>
      </c>
      <c r="Q102" s="237"/>
      <c r="R102" s="9"/>
      <c r="V102" s="168"/>
    </row>
    <row r="103" spans="1:22" x14ac:dyDescent="0.25">
      <c r="A103" s="9"/>
      <c r="B103" s="207" t="s">
        <v>247</v>
      </c>
      <c r="C103" s="258" t="s">
        <v>243</v>
      </c>
      <c r="D103" s="258"/>
      <c r="E103" s="258"/>
      <c r="F103" s="258"/>
      <c r="G103" s="258"/>
      <c r="H103" s="258"/>
      <c r="I103" s="258"/>
      <c r="J103" s="257">
        <v>0</v>
      </c>
      <c r="K103" s="257"/>
      <c r="L103" s="241">
        <f>+J103*L87</f>
        <v>0</v>
      </c>
      <c r="M103" s="241"/>
      <c r="N103" s="241">
        <f>+J103*N87</f>
        <v>0</v>
      </c>
      <c r="O103" s="241"/>
      <c r="P103" s="241">
        <f>J103*P87</f>
        <v>0</v>
      </c>
      <c r="Q103" s="241"/>
      <c r="R103" s="9"/>
    </row>
    <row r="104" spans="1:22" x14ac:dyDescent="0.25">
      <c r="A104" s="9"/>
      <c r="B104" s="207" t="s">
        <v>247</v>
      </c>
      <c r="C104" s="254" t="s">
        <v>244</v>
      </c>
      <c r="D104" s="254"/>
      <c r="E104" s="254"/>
      <c r="F104" s="254"/>
      <c r="G104" s="254"/>
      <c r="H104" s="254"/>
      <c r="I104" s="254"/>
      <c r="J104" s="263">
        <v>0</v>
      </c>
      <c r="K104" s="263"/>
      <c r="L104" s="240">
        <f>+$J$104*L87</f>
        <v>0</v>
      </c>
      <c r="M104" s="240"/>
      <c r="N104" s="240">
        <f>J104*N87</f>
        <v>0</v>
      </c>
      <c r="O104" s="240"/>
      <c r="P104" s="240">
        <f>J104*P87</f>
        <v>0</v>
      </c>
      <c r="Q104" s="240"/>
      <c r="R104" s="9"/>
    </row>
    <row r="105" spans="1:22" x14ac:dyDescent="0.25">
      <c r="A105" s="9"/>
      <c r="B105" s="207" t="s">
        <v>247</v>
      </c>
      <c r="C105" s="254" t="s">
        <v>245</v>
      </c>
      <c r="D105" s="254"/>
      <c r="E105" s="254"/>
      <c r="F105" s="254"/>
      <c r="G105" s="254"/>
      <c r="H105" s="254"/>
      <c r="I105" s="254"/>
      <c r="J105" s="263">
        <v>0</v>
      </c>
      <c r="K105" s="263"/>
      <c r="L105" s="240">
        <f>+J105*L87</f>
        <v>0</v>
      </c>
      <c r="M105" s="240"/>
      <c r="N105" s="240">
        <f>+J105*N87</f>
        <v>0</v>
      </c>
      <c r="O105" s="240"/>
      <c r="P105" s="240">
        <f>J105*P87</f>
        <v>0</v>
      </c>
      <c r="Q105" s="240"/>
      <c r="R105" s="9"/>
    </row>
    <row r="106" spans="1:22" ht="15.75" thickBot="1" x14ac:dyDescent="0.3">
      <c r="A106" s="9"/>
      <c r="B106" s="207" t="s">
        <v>247</v>
      </c>
      <c r="C106" s="259" t="s">
        <v>246</v>
      </c>
      <c r="D106" s="259"/>
      <c r="E106" s="259"/>
      <c r="F106" s="259"/>
      <c r="G106" s="259"/>
      <c r="H106" s="259"/>
      <c r="I106" s="259"/>
      <c r="J106" s="255">
        <v>0</v>
      </c>
      <c r="K106" s="255"/>
      <c r="L106" s="238">
        <f>+J106*L87</f>
        <v>0</v>
      </c>
      <c r="M106" s="238"/>
      <c r="N106" s="238">
        <f>+J106*N87</f>
        <v>0</v>
      </c>
      <c r="O106" s="238"/>
      <c r="P106" s="238">
        <f>+J106*P87</f>
        <v>0</v>
      </c>
      <c r="Q106" s="238"/>
      <c r="R106" s="9"/>
    </row>
    <row r="107" spans="1:22" ht="15.75" thickBot="1" x14ac:dyDescent="0.3">
      <c r="A107" s="9"/>
      <c r="B107" s="11" t="s">
        <v>247</v>
      </c>
      <c r="C107" s="243" t="s">
        <v>248</v>
      </c>
      <c r="D107" s="244"/>
      <c r="E107" s="244"/>
      <c r="F107" s="244"/>
      <c r="G107" s="244"/>
      <c r="H107" s="244"/>
      <c r="I107" s="245"/>
      <c r="J107" s="236">
        <f>SUM(L107:Q107)</f>
        <v>0</v>
      </c>
      <c r="K107" s="237"/>
      <c r="L107" s="236">
        <f>SUM(L103:L106)</f>
        <v>0</v>
      </c>
      <c r="M107" s="237"/>
      <c r="N107" s="236">
        <f>SUM(N103:N106)</f>
        <v>0</v>
      </c>
      <c r="O107" s="237"/>
      <c r="P107" s="236">
        <f>SUM(P103:P106)</f>
        <v>0</v>
      </c>
      <c r="Q107" s="237"/>
      <c r="R107" s="9"/>
    </row>
    <row r="108" spans="1:22" x14ac:dyDescent="0.25">
      <c r="A108" s="9"/>
      <c r="B108" s="207" t="s">
        <v>253</v>
      </c>
      <c r="C108" s="258" t="s">
        <v>329</v>
      </c>
      <c r="D108" s="258"/>
      <c r="E108" s="258"/>
      <c r="F108" s="258"/>
      <c r="G108" s="258"/>
      <c r="H108" s="258"/>
      <c r="I108" s="258"/>
      <c r="J108" s="241">
        <f>L108+N108+P108</f>
        <v>0</v>
      </c>
      <c r="K108" s="241"/>
      <c r="L108" s="241">
        <f>(L92+L95+L96)*0.25</f>
        <v>0</v>
      </c>
      <c r="M108" s="241"/>
      <c r="N108" s="241">
        <f>(N92+N95+N96)*0.25</f>
        <v>0</v>
      </c>
      <c r="O108" s="241"/>
      <c r="P108" s="241">
        <f>(P92+P95+P96)*0.25</f>
        <v>0</v>
      </c>
      <c r="Q108" s="241"/>
      <c r="R108" s="9"/>
    </row>
    <row r="109" spans="1:22" x14ac:dyDescent="0.25">
      <c r="A109" s="9"/>
      <c r="B109" s="207" t="s">
        <v>253</v>
      </c>
      <c r="C109" s="254" t="s">
        <v>250</v>
      </c>
      <c r="D109" s="254"/>
      <c r="E109" s="254"/>
      <c r="F109" s="254"/>
      <c r="G109" s="254"/>
      <c r="H109" s="254"/>
      <c r="I109" s="254"/>
      <c r="J109" s="241">
        <f>L109+N109+P109</f>
        <v>0</v>
      </c>
      <c r="K109" s="241"/>
      <c r="L109" s="240">
        <f>L97*0.25</f>
        <v>0</v>
      </c>
      <c r="M109" s="240"/>
      <c r="N109" s="240">
        <f>N97*0.25</f>
        <v>0</v>
      </c>
      <c r="O109" s="240"/>
      <c r="P109" s="240">
        <f>P97*0.25</f>
        <v>0</v>
      </c>
      <c r="Q109" s="240"/>
      <c r="R109" s="9"/>
    </row>
    <row r="110" spans="1:22" x14ac:dyDescent="0.25">
      <c r="A110" s="9"/>
      <c r="B110" s="207" t="s">
        <v>253</v>
      </c>
      <c r="C110" s="254" t="s">
        <v>251</v>
      </c>
      <c r="D110" s="254"/>
      <c r="E110" s="254"/>
      <c r="F110" s="254"/>
      <c r="G110" s="254"/>
      <c r="H110" s="254"/>
      <c r="I110" s="254"/>
      <c r="J110" s="241">
        <f>L110+N110+P110</f>
        <v>0</v>
      </c>
      <c r="K110" s="241"/>
      <c r="L110" s="240">
        <f>+L103*0.25</f>
        <v>0</v>
      </c>
      <c r="M110" s="240"/>
      <c r="N110" s="240">
        <f>+N103*0.25</f>
        <v>0</v>
      </c>
      <c r="O110" s="240"/>
      <c r="P110" s="240">
        <f>+P103*0.25</f>
        <v>0</v>
      </c>
      <c r="Q110" s="240"/>
      <c r="R110" s="9"/>
      <c r="T110" s="169"/>
    </row>
    <row r="111" spans="1:22" ht="15.75" thickBot="1" x14ac:dyDescent="0.3">
      <c r="A111" s="9"/>
      <c r="B111" s="207" t="s">
        <v>253</v>
      </c>
      <c r="C111" s="259" t="s">
        <v>252</v>
      </c>
      <c r="D111" s="259"/>
      <c r="E111" s="259"/>
      <c r="F111" s="259"/>
      <c r="G111" s="259"/>
      <c r="H111" s="259"/>
      <c r="I111" s="259"/>
      <c r="J111" s="241">
        <f>L111+N111+P111</f>
        <v>0</v>
      </c>
      <c r="K111" s="241"/>
      <c r="L111" s="238">
        <f>0.25*L106</f>
        <v>0</v>
      </c>
      <c r="M111" s="238"/>
      <c r="N111" s="238">
        <f>0.25*N106</f>
        <v>0</v>
      </c>
      <c r="O111" s="238"/>
      <c r="P111" s="238">
        <f>0.25*P106</f>
        <v>0</v>
      </c>
      <c r="Q111" s="238"/>
      <c r="R111" s="9"/>
      <c r="T111" s="169"/>
    </row>
    <row r="112" spans="1:22" ht="15.75" thickBot="1" x14ac:dyDescent="0.3">
      <c r="A112" s="9"/>
      <c r="B112" s="11" t="s">
        <v>253</v>
      </c>
      <c r="C112" s="243" t="s">
        <v>254</v>
      </c>
      <c r="D112" s="244"/>
      <c r="E112" s="244"/>
      <c r="F112" s="244"/>
      <c r="G112" s="244"/>
      <c r="H112" s="244"/>
      <c r="I112" s="245"/>
      <c r="J112" s="236">
        <f>SUM(L112:Q112)</f>
        <v>0</v>
      </c>
      <c r="K112" s="237"/>
      <c r="L112" s="236">
        <f>SUM(L108:L111)</f>
        <v>0</v>
      </c>
      <c r="M112" s="237"/>
      <c r="N112" s="236">
        <f>SUM(N108:N111)</f>
        <v>0</v>
      </c>
      <c r="O112" s="237"/>
      <c r="P112" s="236">
        <f>SUM(P108:P111)</f>
        <v>0</v>
      </c>
      <c r="Q112" s="237"/>
      <c r="R112" s="9"/>
    </row>
    <row r="113" spans="1:21" x14ac:dyDescent="0.25">
      <c r="A113" s="9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9"/>
    </row>
    <row r="114" spans="1:21" x14ac:dyDescent="0.25">
      <c r="A114" s="9"/>
      <c r="B114" s="247" t="s">
        <v>352</v>
      </c>
      <c r="C114" s="247"/>
      <c r="D114" s="247"/>
      <c r="E114" s="247"/>
      <c r="F114" s="247"/>
      <c r="G114" s="247"/>
      <c r="H114" s="247"/>
      <c r="I114" s="247"/>
      <c r="J114" s="233">
        <f>L114+N114</f>
        <v>0</v>
      </c>
      <c r="K114" s="233"/>
      <c r="L114" s="233">
        <f>L92+L95+L99+L102+L107+L112</f>
        <v>0</v>
      </c>
      <c r="M114" s="233"/>
      <c r="N114" s="233">
        <f>N92+N95+N99+N102+N107+N112</f>
        <v>0</v>
      </c>
      <c r="O114" s="233"/>
      <c r="P114" s="234"/>
      <c r="Q114" s="234"/>
      <c r="R114" s="9"/>
    </row>
    <row r="115" spans="1:21" x14ac:dyDescent="0.25">
      <c r="A115" s="9"/>
      <c r="B115" s="248" t="s">
        <v>356</v>
      </c>
      <c r="C115" s="248"/>
      <c r="D115" s="248"/>
      <c r="E115" s="248"/>
      <c r="F115" s="248"/>
      <c r="G115" s="248"/>
      <c r="H115" s="248"/>
      <c r="I115" s="248"/>
      <c r="J115" s="234"/>
      <c r="K115" s="234"/>
      <c r="L115" s="234"/>
      <c r="M115" s="234"/>
      <c r="N115" s="234"/>
      <c r="O115" s="234"/>
      <c r="P115" s="239">
        <f>P92+P95+P99+P102+P107+P112</f>
        <v>0</v>
      </c>
      <c r="Q115" s="239"/>
      <c r="R115" s="9"/>
      <c r="T115" s="169"/>
    </row>
    <row r="116" spans="1:21" ht="15.75" thickBot="1" x14ac:dyDescent="0.3">
      <c r="A116" s="9"/>
      <c r="B116" s="242" t="s">
        <v>255</v>
      </c>
      <c r="C116" s="242"/>
      <c r="D116" s="242"/>
      <c r="E116" s="242"/>
      <c r="F116" s="242"/>
      <c r="G116" s="242"/>
      <c r="H116" s="242"/>
      <c r="I116" s="242"/>
      <c r="J116" s="235">
        <f>L116+N116</f>
        <v>0</v>
      </c>
      <c r="K116" s="235"/>
      <c r="L116" s="235">
        <f>L52</f>
        <v>0</v>
      </c>
      <c r="M116" s="235"/>
      <c r="N116" s="249">
        <f>L53</f>
        <v>0</v>
      </c>
      <c r="O116" s="249"/>
      <c r="P116" s="234"/>
      <c r="Q116" s="234"/>
      <c r="R116" s="9"/>
      <c r="U116" s="168"/>
    </row>
    <row r="117" spans="1:21" ht="15.75" thickBot="1" x14ac:dyDescent="0.3">
      <c r="A117" s="9"/>
      <c r="B117" s="246" t="s">
        <v>353</v>
      </c>
      <c r="C117" s="246"/>
      <c r="D117" s="246"/>
      <c r="E117" s="246"/>
      <c r="F117" s="246"/>
      <c r="G117" s="246"/>
      <c r="H117" s="246"/>
      <c r="I117" s="246"/>
      <c r="J117" s="250">
        <f>L117+N117</f>
        <v>0</v>
      </c>
      <c r="K117" s="250"/>
      <c r="L117" s="250">
        <f t="shared" ref="L117" si="3">L114-L116</f>
        <v>0</v>
      </c>
      <c r="M117" s="251"/>
      <c r="N117" s="252">
        <f t="shared" ref="N117" si="4">N114-N116</f>
        <v>0</v>
      </c>
      <c r="O117" s="253"/>
      <c r="P117" s="234"/>
      <c r="Q117" s="234"/>
      <c r="R117" s="9"/>
    </row>
    <row r="118" spans="1:21" x14ac:dyDescent="0.25">
      <c r="A118" s="9"/>
      <c r="B118" s="61"/>
      <c r="C118" s="217" t="s">
        <v>359</v>
      </c>
      <c r="D118" s="61"/>
      <c r="E118" s="61"/>
      <c r="F118" s="61"/>
      <c r="G118" s="61"/>
      <c r="H118" s="61"/>
      <c r="I118" s="61"/>
      <c r="J118" s="62"/>
      <c r="K118" s="62"/>
      <c r="L118" s="323" t="s">
        <v>256</v>
      </c>
      <c r="M118" s="323"/>
      <c r="N118" s="324"/>
      <c r="O118" s="324"/>
      <c r="P118" s="322">
        <v>0</v>
      </c>
      <c r="Q118" s="322"/>
      <c r="R118" s="9"/>
      <c r="U118" s="170"/>
    </row>
    <row r="119" spans="1:21" ht="15" customHeight="1" x14ac:dyDescent="0.25">
      <c r="A119" s="9"/>
      <c r="B119" s="9"/>
      <c r="C119" s="500" t="s">
        <v>273</v>
      </c>
      <c r="D119" s="500"/>
      <c r="E119" s="500"/>
      <c r="F119" s="500"/>
      <c r="G119" s="500"/>
      <c r="H119" s="500"/>
      <c r="I119" s="500"/>
      <c r="J119" s="500"/>
      <c r="K119" s="500"/>
      <c r="L119" s="500"/>
      <c r="M119" s="500"/>
      <c r="N119" s="500"/>
      <c r="O119" s="500"/>
      <c r="P119" s="500"/>
      <c r="Q119" s="500"/>
      <c r="R119" s="9"/>
    </row>
  </sheetData>
  <sheetProtection sheet="1" objects="1" scenarios="1" selectLockedCells="1"/>
  <mergeCells count="385">
    <mergeCell ref="L19:N19"/>
    <mergeCell ref="O19:Q19"/>
    <mergeCell ref="A16:R16"/>
    <mergeCell ref="B17:Q17"/>
    <mergeCell ref="A20:R20"/>
    <mergeCell ref="B21:Q21"/>
    <mergeCell ref="B43:Q43"/>
    <mergeCell ref="B44:E44"/>
    <mergeCell ref="F44:G44"/>
    <mergeCell ref="H44:J44"/>
    <mergeCell ref="K44:M44"/>
    <mergeCell ref="N44:O44"/>
    <mergeCell ref="P44:Q44"/>
    <mergeCell ref="B36:Q36"/>
    <mergeCell ref="B37:E37"/>
    <mergeCell ref="F37:G37"/>
    <mergeCell ref="H37:J37"/>
    <mergeCell ref="K37:M37"/>
    <mergeCell ref="N37:O37"/>
    <mergeCell ref="P37:Q37"/>
    <mergeCell ref="B38:Q38"/>
    <mergeCell ref="B29:E29"/>
    <mergeCell ref="F29:F30"/>
    <mergeCell ref="G29:J29"/>
    <mergeCell ref="N108:O108"/>
    <mergeCell ref="P108:Q108"/>
    <mergeCell ref="J109:K109"/>
    <mergeCell ref="C110:I110"/>
    <mergeCell ref="C109:I109"/>
    <mergeCell ref="L109:M109"/>
    <mergeCell ref="N109:O109"/>
    <mergeCell ref="P109:Q109"/>
    <mergeCell ref="L110:M110"/>
    <mergeCell ref="N110:O110"/>
    <mergeCell ref="P110:Q110"/>
    <mergeCell ref="L89:M89"/>
    <mergeCell ref="N89:O89"/>
    <mergeCell ref="P89:Q89"/>
    <mergeCell ref="C88:M88"/>
    <mergeCell ref="C89:K89"/>
    <mergeCell ref="J90:K90"/>
    <mergeCell ref="L90:M90"/>
    <mergeCell ref="N90:O90"/>
    <mergeCell ref="P90:Q90"/>
    <mergeCell ref="C90:I90"/>
    <mergeCell ref="L111:M111"/>
    <mergeCell ref="N111:O111"/>
    <mergeCell ref="C105:I105"/>
    <mergeCell ref="J105:K105"/>
    <mergeCell ref="L105:M105"/>
    <mergeCell ref="N105:O105"/>
    <mergeCell ref="P105:Q105"/>
    <mergeCell ref="C106:I106"/>
    <mergeCell ref="J106:K106"/>
    <mergeCell ref="L106:M106"/>
    <mergeCell ref="N106:O106"/>
    <mergeCell ref="P106:Q106"/>
    <mergeCell ref="C107:I107"/>
    <mergeCell ref="J107:K107"/>
    <mergeCell ref="L107:M107"/>
    <mergeCell ref="N107:O107"/>
    <mergeCell ref="P107:Q107"/>
    <mergeCell ref="J110:K110"/>
    <mergeCell ref="C111:I111"/>
    <mergeCell ref="J111:K111"/>
    <mergeCell ref="P111:Q111"/>
    <mergeCell ref="C108:I108"/>
    <mergeCell ref="J108:K108"/>
    <mergeCell ref="L108:M108"/>
    <mergeCell ref="C103:I103"/>
    <mergeCell ref="J103:K103"/>
    <mergeCell ref="L103:M103"/>
    <mergeCell ref="N103:O103"/>
    <mergeCell ref="P103:Q103"/>
    <mergeCell ref="C104:I104"/>
    <mergeCell ref="J104:K104"/>
    <mergeCell ref="L104:M104"/>
    <mergeCell ref="N104:O104"/>
    <mergeCell ref="P104:Q104"/>
    <mergeCell ref="C101:I101"/>
    <mergeCell ref="J101:K101"/>
    <mergeCell ref="L101:M101"/>
    <mergeCell ref="N101:O101"/>
    <mergeCell ref="P101:Q101"/>
    <mergeCell ref="C102:I102"/>
    <mergeCell ref="J102:K102"/>
    <mergeCell ref="L102:M102"/>
    <mergeCell ref="N102:O102"/>
    <mergeCell ref="P102:Q102"/>
    <mergeCell ref="J99:K99"/>
    <mergeCell ref="L99:M99"/>
    <mergeCell ref="N99:O99"/>
    <mergeCell ref="P99:Q99"/>
    <mergeCell ref="C99:I99"/>
    <mergeCell ref="C100:I100"/>
    <mergeCell ref="J100:K100"/>
    <mergeCell ref="L100:M100"/>
    <mergeCell ref="N100:O100"/>
    <mergeCell ref="P100:Q100"/>
    <mergeCell ref="C97:I97"/>
    <mergeCell ref="J97:K97"/>
    <mergeCell ref="L97:M97"/>
    <mergeCell ref="N97:O97"/>
    <mergeCell ref="P97:Q97"/>
    <mergeCell ref="C96:G96"/>
    <mergeCell ref="H96:I96"/>
    <mergeCell ref="C98:I98"/>
    <mergeCell ref="J98:K98"/>
    <mergeCell ref="L98:M98"/>
    <mergeCell ref="N98:O98"/>
    <mergeCell ref="P98:Q98"/>
    <mergeCell ref="C95:I95"/>
    <mergeCell ref="J95:K95"/>
    <mergeCell ref="L95:M95"/>
    <mergeCell ref="N95:O95"/>
    <mergeCell ref="P95:Q95"/>
    <mergeCell ref="J96:K96"/>
    <mergeCell ref="L96:M96"/>
    <mergeCell ref="N96:O96"/>
    <mergeCell ref="P96:Q96"/>
    <mergeCell ref="C94:I94"/>
    <mergeCell ref="J94:K94"/>
    <mergeCell ref="L94:M94"/>
    <mergeCell ref="N94:O94"/>
    <mergeCell ref="P94:Q94"/>
    <mergeCell ref="J91:K91"/>
    <mergeCell ref="L91:M91"/>
    <mergeCell ref="N91:O91"/>
    <mergeCell ref="P91:Q91"/>
    <mergeCell ref="C91:I91"/>
    <mergeCell ref="C92:I92"/>
    <mergeCell ref="J92:K92"/>
    <mergeCell ref="L92:M92"/>
    <mergeCell ref="N92:O92"/>
    <mergeCell ref="P92:Q92"/>
    <mergeCell ref="A93:R93"/>
    <mergeCell ref="C86:G86"/>
    <mergeCell ref="C87:K87"/>
    <mergeCell ref="J84:K84"/>
    <mergeCell ref="L84:M84"/>
    <mergeCell ref="N84:O84"/>
    <mergeCell ref="P84:Q84"/>
    <mergeCell ref="J85:K85"/>
    <mergeCell ref="L85:M85"/>
    <mergeCell ref="N85:O85"/>
    <mergeCell ref="P85:Q85"/>
    <mergeCell ref="C84:G84"/>
    <mergeCell ref="C85:G85"/>
    <mergeCell ref="J86:K86"/>
    <mergeCell ref="L86:M86"/>
    <mergeCell ref="N86:O86"/>
    <mergeCell ref="P86:Q86"/>
    <mergeCell ref="L87:M87"/>
    <mergeCell ref="N87:O87"/>
    <mergeCell ref="P87:Q87"/>
    <mergeCell ref="J82:K82"/>
    <mergeCell ref="L82:M82"/>
    <mergeCell ref="N82:O82"/>
    <mergeCell ref="P82:Q82"/>
    <mergeCell ref="J83:K83"/>
    <mergeCell ref="L83:M83"/>
    <mergeCell ref="N83:O83"/>
    <mergeCell ref="P83:Q83"/>
    <mergeCell ref="C82:G82"/>
    <mergeCell ref="C83:G83"/>
    <mergeCell ref="C81:G81"/>
    <mergeCell ref="J81:K81"/>
    <mergeCell ref="L81:M81"/>
    <mergeCell ref="N81:O81"/>
    <mergeCell ref="P81:Q81"/>
    <mergeCell ref="J80:K80"/>
    <mergeCell ref="L80:M80"/>
    <mergeCell ref="N80:O80"/>
    <mergeCell ref="P80:Q80"/>
    <mergeCell ref="C80:G80"/>
    <mergeCell ref="J79:K79"/>
    <mergeCell ref="L79:M79"/>
    <mergeCell ref="N79:O79"/>
    <mergeCell ref="P79:Q79"/>
    <mergeCell ref="J78:K78"/>
    <mergeCell ref="L78:M78"/>
    <mergeCell ref="N78:O78"/>
    <mergeCell ref="P78:Q78"/>
    <mergeCell ref="C78:G78"/>
    <mergeCell ref="C79:G79"/>
    <mergeCell ref="L74:M74"/>
    <mergeCell ref="N74:O74"/>
    <mergeCell ref="P74:Q74"/>
    <mergeCell ref="C74:G74"/>
    <mergeCell ref="C75:G75"/>
    <mergeCell ref="J77:K77"/>
    <mergeCell ref="L77:M77"/>
    <mergeCell ref="N77:O77"/>
    <mergeCell ref="P77:Q77"/>
    <mergeCell ref="J76:K76"/>
    <mergeCell ref="L76:M76"/>
    <mergeCell ref="N76:O76"/>
    <mergeCell ref="P76:Q76"/>
    <mergeCell ref="C76:G76"/>
    <mergeCell ref="C77:G77"/>
    <mergeCell ref="B48:K48"/>
    <mergeCell ref="L48:Q48"/>
    <mergeCell ref="B49:K49"/>
    <mergeCell ref="L49:Q49"/>
    <mergeCell ref="B47:K47"/>
    <mergeCell ref="L47:Q47"/>
    <mergeCell ref="B39:D39"/>
    <mergeCell ref="E39:G39"/>
    <mergeCell ref="H39:J39"/>
    <mergeCell ref="K39:M39"/>
    <mergeCell ref="N39:Q39"/>
    <mergeCell ref="A45:R45"/>
    <mergeCell ref="B46:Q46"/>
    <mergeCell ref="B42:D42"/>
    <mergeCell ref="E42:G42"/>
    <mergeCell ref="H42:J42"/>
    <mergeCell ref="K42:M42"/>
    <mergeCell ref="N42:Q42"/>
    <mergeCell ref="B40:D40"/>
    <mergeCell ref="E40:G40"/>
    <mergeCell ref="H40:J40"/>
    <mergeCell ref="K40:M40"/>
    <mergeCell ref="N40:Q40"/>
    <mergeCell ref="B41:Q41"/>
    <mergeCell ref="A1:R1"/>
    <mergeCell ref="A3:R3"/>
    <mergeCell ref="B4:Q4"/>
    <mergeCell ref="B2:J2"/>
    <mergeCell ref="K2:Q2"/>
    <mergeCell ref="B5:D5"/>
    <mergeCell ref="E5:Q5"/>
    <mergeCell ref="B6:D6"/>
    <mergeCell ref="E6:G6"/>
    <mergeCell ref="H6:J6"/>
    <mergeCell ref="K6:M6"/>
    <mergeCell ref="N6:O6"/>
    <mergeCell ref="P6:Q6"/>
    <mergeCell ref="B8:Q8"/>
    <mergeCell ref="B9:Q9"/>
    <mergeCell ref="B7:D7"/>
    <mergeCell ref="E7:G7"/>
    <mergeCell ref="H7:J7"/>
    <mergeCell ref="K7:M7"/>
    <mergeCell ref="N7:O7"/>
    <mergeCell ref="P7:Q7"/>
    <mergeCell ref="B10:D10"/>
    <mergeCell ref="E10:K10"/>
    <mergeCell ref="L10:N10"/>
    <mergeCell ref="O10:Q10"/>
    <mergeCell ref="B11:D11"/>
    <mergeCell ref="E11:K11"/>
    <mergeCell ref="L11:N11"/>
    <mergeCell ref="O11:Q11"/>
    <mergeCell ref="B13:Q13"/>
    <mergeCell ref="C14:H14"/>
    <mergeCell ref="J14:L14"/>
    <mergeCell ref="B12:D12"/>
    <mergeCell ref="E12:K12"/>
    <mergeCell ref="L12:N12"/>
    <mergeCell ref="O12:Q12"/>
    <mergeCell ref="O14:Q14"/>
    <mergeCell ref="M14:N14"/>
    <mergeCell ref="C15:E15"/>
    <mergeCell ref="G15:J15"/>
    <mergeCell ref="L15:M15"/>
    <mergeCell ref="O15:Q15"/>
    <mergeCell ref="A24:R24"/>
    <mergeCell ref="B25:Q25"/>
    <mergeCell ref="A27:R27"/>
    <mergeCell ref="B28:Q28"/>
    <mergeCell ref="B26:G26"/>
    <mergeCell ref="H26:K26"/>
    <mergeCell ref="B22:D22"/>
    <mergeCell ref="E22:K22"/>
    <mergeCell ref="L22:N22"/>
    <mergeCell ref="O22:Q22"/>
    <mergeCell ref="B23:D23"/>
    <mergeCell ref="E23:K23"/>
    <mergeCell ref="L23:N23"/>
    <mergeCell ref="O23:Q23"/>
    <mergeCell ref="B18:D18"/>
    <mergeCell ref="E18:K18"/>
    <mergeCell ref="L18:N18"/>
    <mergeCell ref="O18:Q18"/>
    <mergeCell ref="B19:D19"/>
    <mergeCell ref="E19:K19"/>
    <mergeCell ref="K29:K30"/>
    <mergeCell ref="L29:O29"/>
    <mergeCell ref="P29:Q30"/>
    <mergeCell ref="A31:R31"/>
    <mergeCell ref="B33:Q33"/>
    <mergeCell ref="B35:D35"/>
    <mergeCell ref="E35:G35"/>
    <mergeCell ref="H35:J35"/>
    <mergeCell ref="K35:M35"/>
    <mergeCell ref="N35:Q35"/>
    <mergeCell ref="N34:Q34"/>
    <mergeCell ref="B32:Q32"/>
    <mergeCell ref="B34:D34"/>
    <mergeCell ref="E34:G34"/>
    <mergeCell ref="H34:J34"/>
    <mergeCell ref="K34:M34"/>
    <mergeCell ref="A56:R56"/>
    <mergeCell ref="B58:Q58"/>
    <mergeCell ref="B59:Q61"/>
    <mergeCell ref="B50:K50"/>
    <mergeCell ref="L50:Q50"/>
    <mergeCell ref="B54:L54"/>
    <mergeCell ref="M54:Q54"/>
    <mergeCell ref="B51:K51"/>
    <mergeCell ref="L51:Q51"/>
    <mergeCell ref="A52:R52"/>
    <mergeCell ref="B53:Q53"/>
    <mergeCell ref="B55:L55"/>
    <mergeCell ref="M55:Q55"/>
    <mergeCell ref="B57:Q57"/>
    <mergeCell ref="A62:R62"/>
    <mergeCell ref="J71:K71"/>
    <mergeCell ref="L71:M71"/>
    <mergeCell ref="N71:O71"/>
    <mergeCell ref="P71:Q71"/>
    <mergeCell ref="J70:K70"/>
    <mergeCell ref="L70:M70"/>
    <mergeCell ref="N70:O70"/>
    <mergeCell ref="P70:Q70"/>
    <mergeCell ref="J67:K67"/>
    <mergeCell ref="L67:M67"/>
    <mergeCell ref="N67:O67"/>
    <mergeCell ref="P67:Q67"/>
    <mergeCell ref="J69:K69"/>
    <mergeCell ref="L69:M69"/>
    <mergeCell ref="N69:O69"/>
    <mergeCell ref="P69:Q69"/>
    <mergeCell ref="J68:K68"/>
    <mergeCell ref="L68:M68"/>
    <mergeCell ref="N68:O68"/>
    <mergeCell ref="P68:Q68"/>
    <mergeCell ref="B114:I114"/>
    <mergeCell ref="J114:K114"/>
    <mergeCell ref="L114:M114"/>
    <mergeCell ref="N114:O114"/>
    <mergeCell ref="P114:Q114"/>
    <mergeCell ref="A66:R66"/>
    <mergeCell ref="C69:G69"/>
    <mergeCell ref="C70:G70"/>
    <mergeCell ref="C71:G71"/>
    <mergeCell ref="J73:K73"/>
    <mergeCell ref="L73:M73"/>
    <mergeCell ref="N73:O73"/>
    <mergeCell ref="P73:Q73"/>
    <mergeCell ref="J72:K72"/>
    <mergeCell ref="L72:M72"/>
    <mergeCell ref="N72:O72"/>
    <mergeCell ref="P72:Q72"/>
    <mergeCell ref="C72:G72"/>
    <mergeCell ref="C73:G73"/>
    <mergeCell ref="J75:K75"/>
    <mergeCell ref="L75:M75"/>
    <mergeCell ref="N75:O75"/>
    <mergeCell ref="P75:Q75"/>
    <mergeCell ref="J74:K74"/>
    <mergeCell ref="C119:Q119"/>
    <mergeCell ref="B67:I67"/>
    <mergeCell ref="C68:G68"/>
    <mergeCell ref="L118:O118"/>
    <mergeCell ref="P118:Q118"/>
    <mergeCell ref="J115:O115"/>
    <mergeCell ref="P115:Q115"/>
    <mergeCell ref="L116:M116"/>
    <mergeCell ref="N116:O116"/>
    <mergeCell ref="B117:I117"/>
    <mergeCell ref="J117:K117"/>
    <mergeCell ref="L117:M117"/>
    <mergeCell ref="N117:O117"/>
    <mergeCell ref="P117:Q117"/>
    <mergeCell ref="B115:I115"/>
    <mergeCell ref="B116:I116"/>
    <mergeCell ref="J116:K116"/>
    <mergeCell ref="P116:Q116"/>
    <mergeCell ref="C112:I112"/>
    <mergeCell ref="J112:K112"/>
    <mergeCell ref="L112:M112"/>
    <mergeCell ref="N112:O112"/>
    <mergeCell ref="P112:Q112"/>
    <mergeCell ref="B113:Q113"/>
  </mergeCells>
  <conditionalFormatting sqref="B14">
    <cfRule type="expression" dxfId="41" priority="18">
      <formula>$B$15="Ja"</formula>
    </cfRule>
  </conditionalFormatting>
  <conditionalFormatting sqref="B14:B15">
    <cfRule type="expression" dxfId="40" priority="5">
      <formula>$F$15="Ja"</formula>
    </cfRule>
  </conditionalFormatting>
  <conditionalFormatting sqref="B15">
    <cfRule type="expression" dxfId="39" priority="12">
      <formula>$B$14="Ja"</formula>
    </cfRule>
  </conditionalFormatting>
  <conditionalFormatting sqref="F15">
    <cfRule type="expression" dxfId="38" priority="11">
      <formula>$B$14="Ja"</formula>
    </cfRule>
    <cfRule type="expression" dxfId="37" priority="17">
      <formula>$B$15="Ja"</formula>
    </cfRule>
  </conditionalFormatting>
  <conditionalFormatting sqref="H96:I96">
    <cfRule type="expression" dxfId="36" priority="22">
      <formula>$H$96&gt;15%</formula>
    </cfRule>
  </conditionalFormatting>
  <conditionalFormatting sqref="I14">
    <cfRule type="expression" dxfId="35" priority="19">
      <formula>$F$15="Ja"</formula>
    </cfRule>
    <cfRule type="expression" dxfId="34" priority="20">
      <formula>$B$15="Ja"</formula>
    </cfRule>
  </conditionalFormatting>
  <conditionalFormatting sqref="I69:I86">
    <cfRule type="expression" dxfId="33" priority="23" stopIfTrue="1">
      <formula>I69&gt;0</formula>
    </cfRule>
    <cfRule type="expression" dxfId="32" priority="24">
      <formula>I69+J69&gt;0</formula>
    </cfRule>
  </conditionalFormatting>
  <conditionalFormatting sqref="J90:K90">
    <cfRule type="expression" dxfId="31" priority="46">
      <formula>$J$90=0</formula>
    </cfRule>
    <cfRule type="expression" dxfId="30" priority="47">
      <formula>$J$69+$J$71+$J$72=0</formula>
    </cfRule>
  </conditionalFormatting>
  <conditionalFormatting sqref="K15">
    <cfRule type="expression" dxfId="29" priority="7">
      <formula>$N$15="Ja"</formula>
    </cfRule>
    <cfRule type="expression" dxfId="28" priority="10">
      <formula>$B$14="Ja"</formula>
    </cfRule>
    <cfRule type="expression" dxfId="27" priority="16">
      <formula>$B$15="Ja"</formula>
    </cfRule>
  </conditionalFormatting>
  <conditionalFormatting sqref="L69:M86">
    <cfRule type="expression" dxfId="26" priority="21">
      <formula>IF(OR($B$14="Ja",$B$15="Ja"),1,0)</formula>
    </cfRule>
    <cfRule type="expression" dxfId="25" priority="36">
      <formula>$I$14="Nej"</formula>
    </cfRule>
    <cfRule type="expression" dxfId="24" priority="39">
      <formula>$B$15="Ja"</formula>
    </cfRule>
  </conditionalFormatting>
  <conditionalFormatting sqref="L94:M94">
    <cfRule type="expression" dxfId="23" priority="25">
      <formula>$B$15="Ja"</formula>
    </cfRule>
    <cfRule type="expression" dxfId="22" priority="26">
      <formula>$I$14="Nej"</formula>
    </cfRule>
  </conditionalFormatting>
  <conditionalFormatting sqref="M14">
    <cfRule type="expression" dxfId="21" priority="1">
      <formula>$F$15="Ja"</formula>
    </cfRule>
    <cfRule type="expression" dxfId="20" priority="2">
      <formula>$I$14="Nej"</formula>
    </cfRule>
    <cfRule type="expression" dxfId="19" priority="3">
      <formula>$B$15="Ja"</formula>
    </cfRule>
  </conditionalFormatting>
  <conditionalFormatting sqref="N15">
    <cfRule type="expression" dxfId="18" priority="6">
      <formula>$K$15="Ja"</formula>
    </cfRule>
    <cfRule type="expression" dxfId="17" priority="9">
      <formula>$B$14="Ja"</formula>
    </cfRule>
    <cfRule type="expression" dxfId="16" priority="15">
      <formula>$B$15="Ja"</formula>
    </cfRule>
  </conditionalFormatting>
  <dataValidations count="2">
    <dataValidation allowBlank="1" showInputMessage="1" showErrorMessage="1" prompt="Formel _x000a_IKKE _x000a_slette !!!" sqref="N89 L87 P89 N87 P87 L89" xr:uid="{3556386D-374E-4EFD-9389-0CC294506551}"/>
    <dataValidation type="list" allowBlank="1" showInputMessage="1" showErrorMessage="1" sqref="K15 I14 F15 B14:B15 N15" xr:uid="{76BDC85C-51A4-41D6-BE00-95945F942778}">
      <formula1>"Ja,Nej"</formula1>
    </dataValidation>
  </dataValidations>
  <hyperlinks>
    <hyperlink ref="C119" r:id="rId1" xr:uid="{F616BE2D-6F6F-411C-B9C5-2FFF08FBFB5F}"/>
  </hyperlinks>
  <pageMargins left="0" right="0" top="0" bottom="0" header="0" footer="0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6" r:id="rId5" name="Group Box 6">
              <controlPr defaultSize="0" autoFill="0" autoPict="0" altText="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8" r:id="rId6" name="Group Box 38">
              <controlPr defaultSize="0" autoFill="0" autoPict="0" altText="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9" r:id="rId7" name="Group Box 39">
              <controlPr defaultSize="0" autoFill="0" autoPict="0" altText="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d46b0f-e2c7-4a31-a61e-54a1e81a6d74" xsi:nil="true"/>
    <lcf76f155ced4ddcb4097134ff3c332f xmlns="7546321c-f6f8-480c-a6ef-01d304295335">
      <Terms xmlns="http://schemas.microsoft.com/office/infopath/2007/PartnerControls"/>
    </lcf76f155ced4ddcb4097134ff3c332f>
    <SharedWithUsers xmlns="6bf34d0e-f1a0-4bfe-8997-5c594c47f040">
      <UserInfo>
        <DisplayName>Ditte Hartmann Christensen</DisplayName>
        <AccountId>29</AccountId>
        <AccountType/>
      </UserInfo>
    </SharedWithUsers>
    <eDoc xmlns="7546321c-f6f8-480c-a6ef-01d304295335" xsi:nil="true"/>
    <MediaLengthInSeconds xmlns="7546321c-f6f8-480c-a6ef-01d30429533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EFBCF46D961A4789781AA114630AC7" ma:contentTypeVersion="19" ma:contentTypeDescription="Opret et nyt dokument." ma:contentTypeScope="" ma:versionID="c79b327e117b8902f665fe95608fc397">
  <xsd:schema xmlns:xsd="http://www.w3.org/2001/XMLSchema" xmlns:xs="http://www.w3.org/2001/XMLSchema" xmlns:p="http://schemas.microsoft.com/office/2006/metadata/properties" xmlns:ns2="7546321c-f6f8-480c-a6ef-01d304295335" xmlns:ns3="6bf34d0e-f1a0-4bfe-8997-5c594c47f040" xmlns:ns4="0dd46b0f-e2c7-4a31-a61e-54a1e81a6d74" targetNamespace="http://schemas.microsoft.com/office/2006/metadata/properties" ma:root="true" ma:fieldsID="853a07602760ea9704aab959abe372d2" ns2:_="" ns3:_="" ns4:_="">
    <xsd:import namespace="7546321c-f6f8-480c-a6ef-01d304295335"/>
    <xsd:import namespace="6bf34d0e-f1a0-4bfe-8997-5c594c47f040"/>
    <xsd:import namespace="0dd46b0f-e2c7-4a31-a61e-54a1e81a6d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eDoc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6321c-f6f8-480c-a6ef-01d3042953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e6a412d2-aea5-45d9-add9-4615ec1865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Doc" ma:index="24" nillable="true" ma:displayName="eDoc" ma:internalName="eDoc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34d0e-f1a0-4bfe-8997-5c594c47f0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d46b0f-e2c7-4a31-a61e-54a1e81a6d7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281f714-7c5d-4c4e-8af0-a37554e75e5b}" ma:internalName="TaxCatchAll" ma:showField="CatchAllData" ma:web="6bf34d0e-f1a0-4bfe-8997-5c594c47f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A09878-558C-4C80-8455-73AE86A37B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7B1CCC-3A21-44B8-AFE4-35B6A15DE05C}">
  <ds:schemaRefs>
    <ds:schemaRef ds:uri="7546321c-f6f8-480c-a6ef-01d304295335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0dd46b0f-e2c7-4a31-a61e-54a1e81a6d74"/>
    <ds:schemaRef ds:uri="6bf34d0e-f1a0-4bfe-8997-5c594c47f040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6C7ABF-D49E-4B65-938F-1AD4F6219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46321c-f6f8-480c-a6ef-01d304295335"/>
    <ds:schemaRef ds:uri="6bf34d0e-f1a0-4bfe-8997-5c594c47f040"/>
    <ds:schemaRef ds:uri="0dd46b0f-e2c7-4a31-a61e-54a1e81a6d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Navngivne områder</vt:lpstr>
      </vt:variant>
      <vt:variant>
        <vt:i4>8</vt:i4>
      </vt:variant>
    </vt:vector>
  </HeadingPairs>
  <TitlesOfParts>
    <vt:vector size="19" baseType="lpstr">
      <vt:lpstr>Fakta ark</vt:lpstr>
      <vt:lpstr>Versionsstyring</vt:lpstr>
      <vt:lpstr>Ansøgning</vt:lpstr>
      <vt:lpstr>Ændringer</vt:lpstr>
      <vt:lpstr>Tilsagn</vt:lpstr>
      <vt:lpstr>Licitation - Ansøger</vt:lpstr>
      <vt:lpstr>Ændringer 1</vt:lpstr>
      <vt:lpstr>Licitation</vt:lpstr>
      <vt:lpstr>Regnskab - Ansøger</vt:lpstr>
      <vt:lpstr>Ændringer 2</vt:lpstr>
      <vt:lpstr>Regnskab</vt:lpstr>
      <vt:lpstr>Ansøgning!Udskriftsområde</vt:lpstr>
      <vt:lpstr>Licitation!Udskriftsområde</vt:lpstr>
      <vt:lpstr>Regnskab!Udskriftsområde</vt:lpstr>
      <vt:lpstr>Tilsagn!Udskriftsområde</vt:lpstr>
      <vt:lpstr>Ændringer!Udskriftsområde</vt:lpstr>
      <vt:lpstr>'Ændringer 1'!Udskriftsområde</vt:lpstr>
      <vt:lpstr>'Ændringer 2'!Udskriftsområde</vt:lpstr>
      <vt:lpstr>Version</vt:lpstr>
    </vt:vector>
  </TitlesOfParts>
  <Manager/>
  <Company>Københavns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Søren Bjarnø</dc:creator>
  <cp:keywords/>
  <dc:description/>
  <cp:lastModifiedBy>Lene Juhl Friedrichsen</cp:lastModifiedBy>
  <cp:revision/>
  <cp:lastPrinted>2024-06-27T11:05:11Z</cp:lastPrinted>
  <dcterms:created xsi:type="dcterms:W3CDTF">2015-06-15T07:31:00Z</dcterms:created>
  <dcterms:modified xsi:type="dcterms:W3CDTF">2026-08-13T08:32:44Z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0x01010030EFBCF46D961A4789781AA114630AC7</vt:lpwstr>
  </property>
  <property fmtid="{D5CDD505-2E9C-101B-9397-08002B2CF9AE}" pid="3" name="AuthorIds_UIVersion_4096">
    <vt:lpwstr>45</vt:lpwstr>
  </property>
  <property fmtid="{D5CDD505-2E9C-101B-9397-08002B2CF9AE}" pid="4" name="Sensitivity">
    <vt:lpwstr/>
  </property>
  <property fmtid="{D5CDD505-2E9C-101B-9397-08002B2CF9AE}" pid="5" name="TaxCatchAll">
    <vt:lpwstr/>
  </property>
  <property fmtid="{D5CDD505-2E9C-101B-9397-08002B2CF9AE}" pid="6" name="j2c2601e249f4d2993f2fcc4fe83f7c1">
    <vt:lpwstr/>
  </property>
  <property fmtid="{D5CDD505-2E9C-101B-9397-08002B2CF9AE}" pid="7" name="CloudStatistics_StoryID">
    <vt:lpwstr>26f12df4-e11c-45e8-a988-4c90ec5823d6</vt:lpwstr>
  </property>
  <property fmtid="{D5CDD505-2E9C-101B-9397-08002B2CF9AE}" pid="8" name="MediaServiceImageTags">
    <vt:lpwstr/>
  </property>
  <property fmtid="{D5CDD505-2E9C-101B-9397-08002B2CF9AE}" pid="9" name="ComplianceAssetId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ProgID">
    <vt:lpwstr/>
  </property>
  <property fmtid="{D5CDD505-2E9C-101B-9397-08002B2CF9AE}" pid="13" name="TemplateUrl">
    <vt:lpwstr/>
  </property>
  <property fmtid="{D5CDD505-2E9C-101B-9397-08002B2CF9AE}" pid="14" name="xd_Signature">
    <vt:bool>false</vt:bool>
  </property>
</Properties>
</file>